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rve\Downloads\"/>
    </mc:Choice>
  </mc:AlternateContent>
  <bookViews>
    <workbookView xWindow="0" yWindow="0" windowWidth="19200" windowHeight="6930" activeTab="1"/>
  </bookViews>
  <sheets>
    <sheet name="Balance" sheetId="2" r:id="rId1"/>
    <sheet name="Février 2025" sheetId="1" r:id="rId2"/>
    <sheet name="Individual costs" sheetId="10" r:id="rId3"/>
    <sheet name="data ANALYSIS" sheetId="12" r:id="rId4"/>
    <sheet name="Individual received" sheetId="19" r:id="rId5"/>
    <sheet name="Bank journal" sheetId="4" r:id="rId6"/>
    <sheet name="Cash journal" sheetId="3" r:id="rId7"/>
    <sheet name="Personals balance " sheetId="6" r:id="rId8"/>
    <sheet name="Bank reconciliation" sheetId="5" r:id="rId9"/>
    <sheet name="Cash desk closing" sheetId="7" r:id="rId10"/>
    <sheet name="Global data " sheetId="22" r:id="rId11"/>
    <sheet name="Donors table" sheetId="9" r:id="rId12"/>
  </sheets>
  <externalReferences>
    <externalReference r:id="rId13"/>
    <externalReference r:id="rId14"/>
  </externalReferences>
  <definedNames>
    <definedName name="_xlnm._FilterDatabase" localSheetId="5" hidden="1">'Bank journal'!$A$1:$I$25</definedName>
    <definedName name="_xlnm._FilterDatabase" localSheetId="6" hidden="1">'Cash journal'!$A$1:$J$123</definedName>
    <definedName name="_xlnm._FilterDatabase" localSheetId="1" hidden="1">'Février 2025'!$A$1:$L$181</definedName>
    <definedName name="_xlnm._FilterDatabase" localSheetId="10" hidden="1">'Global data '!$A$1:$O$361</definedName>
    <definedName name="_xlnm._FilterDatabase" localSheetId="7" hidden="1">'Personals balance '!$A$350:$I$370</definedName>
  </definedNames>
  <calcPr calcId="162913"/>
  <pivotCaches>
    <pivotCache cacheId="0" r:id="rId15"/>
    <pivotCache cacheId="1" r:id="rId16"/>
    <pivotCache cacheId="2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5" i="22" l="1"/>
  <c r="G17" i="9"/>
  <c r="F17" i="9"/>
  <c r="G30" i="9"/>
  <c r="F30" i="9"/>
  <c r="F4" i="9"/>
  <c r="F3" i="9"/>
  <c r="E3" i="9"/>
  <c r="D3" i="9"/>
  <c r="G4" i="9"/>
  <c r="G3" i="9"/>
  <c r="E4" i="9"/>
  <c r="D4" i="9"/>
  <c r="F361" i="22" l="1"/>
  <c r="F360" i="22"/>
  <c r="F359" i="22"/>
  <c r="F358" i="22"/>
  <c r="F357" i="22"/>
  <c r="F356" i="22"/>
  <c r="F355" i="22"/>
  <c r="F354" i="22"/>
  <c r="F353" i="22"/>
  <c r="F352" i="22"/>
  <c r="F351" i="22"/>
  <c r="F350" i="22"/>
  <c r="F349" i="22"/>
  <c r="F348" i="22"/>
  <c r="F347" i="22"/>
  <c r="F346" i="22"/>
  <c r="F345" i="22"/>
  <c r="F344" i="22"/>
  <c r="F343" i="22"/>
  <c r="F342" i="22"/>
  <c r="F341" i="22"/>
  <c r="F340" i="22"/>
  <c r="F339" i="22"/>
  <c r="F338" i="22"/>
  <c r="F337" i="22"/>
  <c r="F336" i="22"/>
  <c r="F335" i="22"/>
  <c r="F334" i="22"/>
  <c r="F333" i="22"/>
  <c r="F332" i="22"/>
  <c r="F331" i="22"/>
  <c r="F330" i="22"/>
  <c r="F329" i="22"/>
  <c r="F328" i="22"/>
  <c r="F327" i="22"/>
  <c r="F326" i="22"/>
  <c r="F325" i="22"/>
  <c r="F324" i="22"/>
  <c r="F323" i="22"/>
  <c r="F322" i="22"/>
  <c r="F321" i="22"/>
  <c r="F320" i="22"/>
  <c r="F319" i="22"/>
  <c r="F318" i="22"/>
  <c r="F317" i="22"/>
  <c r="F316" i="22"/>
  <c r="F315" i="22"/>
  <c r="F314" i="22"/>
  <c r="F313" i="22"/>
  <c r="F312" i="22"/>
  <c r="F311" i="22"/>
  <c r="F310" i="22"/>
  <c r="F309" i="22"/>
  <c r="F308" i="22"/>
  <c r="F307" i="22"/>
  <c r="F306" i="22"/>
  <c r="F305" i="22"/>
  <c r="F304" i="22"/>
  <c r="F303" i="22"/>
  <c r="F302" i="22"/>
  <c r="F301" i="22"/>
  <c r="F300" i="22"/>
  <c r="F299" i="22"/>
  <c r="F298" i="22"/>
  <c r="F297" i="22"/>
  <c r="F296" i="22"/>
  <c r="F295" i="22"/>
  <c r="F294" i="22"/>
  <c r="F293" i="22"/>
  <c r="F292" i="22"/>
  <c r="F291" i="22"/>
  <c r="F290" i="22"/>
  <c r="F289" i="22"/>
  <c r="F288" i="22"/>
  <c r="F287" i="22"/>
  <c r="F286" i="22"/>
  <c r="F285" i="22"/>
  <c r="F284" i="22"/>
  <c r="F283" i="22"/>
  <c r="F282" i="22"/>
  <c r="F281" i="22"/>
  <c r="F277" i="22"/>
  <c r="F280" i="22"/>
  <c r="F279" i="22"/>
  <c r="F278" i="22"/>
  <c r="F276" i="22"/>
  <c r="F275" i="22"/>
  <c r="F274" i="22"/>
  <c r="F273" i="22"/>
  <c r="F272" i="22"/>
  <c r="F271" i="22"/>
  <c r="F270" i="22"/>
  <c r="F269" i="22"/>
  <c r="F268" i="22"/>
  <c r="F267" i="22"/>
  <c r="F266" i="22"/>
  <c r="F264" i="22"/>
  <c r="F263" i="22"/>
  <c r="F262" i="22"/>
  <c r="F261" i="22"/>
  <c r="F260" i="22"/>
  <c r="F259" i="22"/>
  <c r="F258" i="22"/>
  <c r="F257" i="22"/>
  <c r="F256" i="22"/>
  <c r="F255" i="22"/>
  <c r="F254" i="22"/>
  <c r="F253" i="22"/>
  <c r="F252" i="22"/>
  <c r="F251" i="22"/>
  <c r="F250" i="22"/>
  <c r="F249" i="22"/>
  <c r="F248" i="22"/>
  <c r="F247" i="22"/>
  <c r="F246" i="22"/>
  <c r="F245" i="22"/>
  <c r="F244" i="22"/>
  <c r="F243" i="22"/>
  <c r="F242" i="22"/>
  <c r="F241" i="22"/>
  <c r="F240" i="22"/>
  <c r="F239" i="22"/>
  <c r="F238" i="22"/>
  <c r="F237" i="22"/>
  <c r="F236" i="22"/>
  <c r="F235" i="22"/>
  <c r="F234" i="22"/>
  <c r="F233" i="22"/>
  <c r="F232" i="22"/>
  <c r="F231" i="22"/>
  <c r="F230" i="22"/>
  <c r="F229" i="22"/>
  <c r="F228" i="22"/>
  <c r="F227" i="22"/>
  <c r="F226" i="22"/>
  <c r="F225" i="22"/>
  <c r="F224" i="22"/>
  <c r="F223" i="22"/>
  <c r="F222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8" i="22"/>
  <c r="F207" i="22"/>
  <c r="F206" i="22"/>
  <c r="F205" i="22"/>
  <c r="F204" i="22"/>
  <c r="F203" i="22"/>
  <c r="F202" i="22"/>
  <c r="F201" i="22"/>
  <c r="F200" i="22"/>
  <c r="F199" i="22"/>
  <c r="F198" i="22"/>
  <c r="F197" i="22"/>
  <c r="F196" i="22"/>
  <c r="F195" i="22"/>
  <c r="F194" i="22"/>
  <c r="F193" i="22"/>
  <c r="F192" i="22"/>
  <c r="F191" i="22"/>
  <c r="F190" i="22"/>
  <c r="F189" i="22"/>
  <c r="F188" i="22"/>
  <c r="F187" i="22"/>
  <c r="F186" i="22"/>
  <c r="F185" i="22"/>
  <c r="F184" i="22"/>
  <c r="F183" i="22"/>
  <c r="F182" i="22"/>
  <c r="F144" i="6" l="1"/>
  <c r="E144" i="6"/>
  <c r="G144" i="6" s="1"/>
  <c r="H5" i="2" s="1"/>
  <c r="E9" i="2"/>
  <c r="E16" i="2"/>
  <c r="E14" i="2"/>
  <c r="E12" i="2"/>
  <c r="E11" i="2"/>
  <c r="E10" i="2"/>
  <c r="E8" i="2"/>
  <c r="D25" i="2"/>
  <c r="E25" i="2"/>
  <c r="E15" i="2"/>
  <c r="F84" i="1" l="1"/>
  <c r="F99" i="1"/>
  <c r="F120" i="1"/>
  <c r="F125" i="1"/>
  <c r="F126" i="1"/>
  <c r="F139" i="1"/>
  <c r="F140" i="1"/>
  <c r="F157" i="1"/>
  <c r="F2" i="1"/>
  <c r="F3" i="1"/>
  <c r="F4" i="1"/>
  <c r="F5" i="1"/>
  <c r="F6" i="1"/>
  <c r="F7" i="1"/>
  <c r="F8" i="1"/>
  <c r="F15" i="1"/>
  <c r="F16" i="1"/>
  <c r="F50" i="1"/>
  <c r="F51" i="1"/>
  <c r="F52" i="1"/>
  <c r="F53" i="1"/>
  <c r="F54" i="1"/>
  <c r="F55" i="1"/>
  <c r="F56" i="1"/>
  <c r="F57" i="1"/>
  <c r="F58" i="1"/>
  <c r="F59" i="1"/>
  <c r="F73" i="1"/>
  <c r="F74" i="1"/>
  <c r="F85" i="1"/>
  <c r="F86" i="1"/>
  <c r="F87" i="1"/>
  <c r="F88" i="1"/>
  <c r="F89" i="1"/>
  <c r="F90" i="1"/>
  <c r="F108" i="1"/>
  <c r="F113" i="1"/>
  <c r="F114" i="1"/>
  <c r="F127" i="1"/>
  <c r="F146" i="1"/>
  <c r="F151" i="1"/>
  <c r="F158" i="1"/>
  <c r="F159" i="1"/>
  <c r="F160" i="1"/>
  <c r="F161" i="1"/>
  <c r="F162" i="1"/>
  <c r="F91" i="1"/>
  <c r="F109" i="1"/>
  <c r="F115" i="1"/>
  <c r="F147" i="1"/>
  <c r="F155" i="1"/>
  <c r="F163" i="1"/>
  <c r="F164" i="1"/>
  <c r="F14" i="1"/>
  <c r="F17" i="1"/>
  <c r="F26" i="1"/>
  <c r="F27" i="1"/>
  <c r="F40" i="1"/>
  <c r="F41" i="1"/>
  <c r="F42" i="1"/>
  <c r="F45" i="1"/>
  <c r="F46" i="1"/>
  <c r="F128" i="1"/>
  <c r="F129" i="1"/>
  <c r="F130" i="1"/>
  <c r="F131" i="1"/>
  <c r="F141" i="1"/>
  <c r="F142" i="1"/>
  <c r="F165" i="1"/>
  <c r="F166" i="1"/>
  <c r="F167" i="1"/>
  <c r="F23" i="1"/>
  <c r="F24" i="1"/>
  <c r="F47" i="1"/>
  <c r="F48" i="1"/>
  <c r="F121" i="1"/>
  <c r="F124" i="1"/>
  <c r="F168" i="1"/>
  <c r="F169" i="1"/>
  <c r="F170" i="1"/>
  <c r="F18" i="1"/>
  <c r="F13" i="1"/>
  <c r="F19" i="1"/>
  <c r="F28" i="1"/>
  <c r="F29" i="1"/>
  <c r="F30" i="1"/>
  <c r="F43" i="1"/>
  <c r="F44" i="1"/>
  <c r="F67" i="1"/>
  <c r="F68" i="1"/>
  <c r="F100" i="1"/>
  <c r="F97" i="1"/>
  <c r="F110" i="1"/>
  <c r="F111" i="1"/>
  <c r="F116" i="1"/>
  <c r="F117" i="1"/>
  <c r="F122" i="1"/>
  <c r="F123" i="1"/>
  <c r="F143" i="1"/>
  <c r="F148" i="1"/>
  <c r="F152" i="1"/>
  <c r="F171" i="1"/>
  <c r="F172" i="1"/>
  <c r="F173" i="1"/>
  <c r="F37" i="1"/>
  <c r="F38" i="1"/>
  <c r="F39" i="1"/>
  <c r="F60" i="1"/>
  <c r="F61" i="1"/>
  <c r="F62" i="1"/>
  <c r="F75" i="1"/>
  <c r="F76" i="1"/>
  <c r="F92" i="1"/>
  <c r="F93" i="1"/>
  <c r="F101" i="1"/>
  <c r="F149" i="1"/>
  <c r="F9" i="1"/>
  <c r="F10" i="1"/>
  <c r="F20" i="1"/>
  <c r="F31" i="1"/>
  <c r="F32" i="1"/>
  <c r="F94" i="1"/>
  <c r="F102" i="1"/>
  <c r="F132" i="1"/>
  <c r="F133" i="1"/>
  <c r="F144" i="1"/>
  <c r="F174" i="1"/>
  <c r="F175" i="1"/>
  <c r="F35" i="1"/>
  <c r="F63" i="1"/>
  <c r="F64" i="1"/>
  <c r="F69" i="1"/>
  <c r="F103" i="1"/>
  <c r="F118" i="1"/>
  <c r="F134" i="1"/>
  <c r="F150" i="1"/>
  <c r="F176" i="1"/>
  <c r="F177" i="1"/>
  <c r="F11" i="1"/>
  <c r="F21" i="1"/>
  <c r="F33" i="1"/>
  <c r="F34" i="1"/>
  <c r="F49" i="1"/>
  <c r="F66" i="1"/>
  <c r="F70" i="1"/>
  <c r="F71" i="1"/>
  <c r="F72" i="1"/>
  <c r="F77" i="1"/>
  <c r="F80" i="1"/>
  <c r="F96" i="1"/>
  <c r="F104" i="1"/>
  <c r="F105" i="1"/>
  <c r="F107" i="1"/>
  <c r="F112" i="1"/>
  <c r="F36" i="1"/>
  <c r="F119" i="1"/>
  <c r="F135" i="1"/>
  <c r="F153" i="1"/>
  <c r="F154" i="1"/>
  <c r="F25" i="1"/>
  <c r="F78" i="1"/>
  <c r="F95" i="1"/>
  <c r="F106" i="1"/>
  <c r="F136" i="1"/>
  <c r="F145" i="1"/>
  <c r="F178" i="1"/>
  <c r="F179" i="1"/>
  <c r="F180" i="1"/>
  <c r="F181" i="1"/>
  <c r="F12" i="1"/>
  <c r="F22" i="1"/>
  <c r="F65" i="1"/>
  <c r="F79" i="1"/>
  <c r="G15" i="2"/>
  <c r="D15" i="2"/>
  <c r="G12" i="2"/>
  <c r="D12" i="2"/>
  <c r="D10" i="2"/>
  <c r="G8" i="2"/>
  <c r="G5" i="2"/>
  <c r="G4" i="2"/>
  <c r="G14" i="2"/>
  <c r="D14" i="2"/>
  <c r="D11" i="2"/>
  <c r="G10" i="2"/>
  <c r="E5" i="2"/>
  <c r="E4" i="2"/>
  <c r="D4" i="2"/>
  <c r="D2" i="2"/>
  <c r="G16" i="2"/>
  <c r="G11" i="2"/>
  <c r="E3" i="2"/>
  <c r="G19" i="2"/>
  <c r="D9" i="2"/>
  <c r="D5" i="2"/>
  <c r="D16" i="2"/>
  <c r="D8" i="2"/>
  <c r="E2" i="2"/>
  <c r="G3" i="2"/>
  <c r="G2" i="2"/>
  <c r="E19" i="2"/>
  <c r="G9" i="2"/>
  <c r="D3" i="2"/>
  <c r="E123" i="6" l="1"/>
  <c r="C16" i="2"/>
  <c r="C15" i="2"/>
  <c r="F303" i="6"/>
  <c r="E303" i="6"/>
  <c r="G303" i="6" s="1"/>
  <c r="H14" i="2" s="1"/>
  <c r="G286" i="6"/>
  <c r="G287" i="6" s="1"/>
  <c r="G288" i="6" s="1"/>
  <c r="G289" i="6" s="1"/>
  <c r="G290" i="6" s="1"/>
  <c r="G291" i="6" s="1"/>
  <c r="G292" i="6" s="1"/>
  <c r="G293" i="6" s="1"/>
  <c r="G294" i="6" s="1"/>
  <c r="G295" i="6" s="1"/>
  <c r="G296" i="6" s="1"/>
  <c r="G297" i="6" s="1"/>
  <c r="G298" i="6" s="1"/>
  <c r="G299" i="6" s="1"/>
  <c r="G300" i="6" s="1"/>
  <c r="G301" i="6" s="1"/>
  <c r="G302" i="6" s="1"/>
  <c r="C14" i="2" l="1"/>
  <c r="C25" i="2"/>
  <c r="C11" i="2" l="1"/>
  <c r="C10" i="2"/>
  <c r="C9" i="2"/>
  <c r="C8" i="2"/>
  <c r="F235" i="6"/>
  <c r="E235" i="6"/>
  <c r="G235" i="6" s="1"/>
  <c r="H8" i="2" s="1"/>
  <c r="G205" i="6"/>
  <c r="G206" i="6" s="1"/>
  <c r="G207" i="6" s="1"/>
  <c r="G208" i="6" s="1"/>
  <c r="G209" i="6" s="1"/>
  <c r="G210" i="6" s="1"/>
  <c r="G211" i="6" s="1"/>
  <c r="G212" i="6" s="1"/>
  <c r="G213" i="6" s="1"/>
  <c r="G214" i="6" s="1"/>
  <c r="G215" i="6" s="1"/>
  <c r="G216" i="6" s="1"/>
  <c r="G217" i="6" s="1"/>
  <c r="G218" i="6" s="1"/>
  <c r="G219" i="6" s="1"/>
  <c r="G220" i="6" s="1"/>
  <c r="G221" i="6" s="1"/>
  <c r="G222" i="6" s="1"/>
  <c r="G223" i="6" s="1"/>
  <c r="G224" i="6" s="1"/>
  <c r="G225" i="6" s="1"/>
  <c r="G226" i="6" s="1"/>
  <c r="G227" i="6" s="1"/>
  <c r="G228" i="6" s="1"/>
  <c r="G229" i="6" s="1"/>
  <c r="G230" i="6" s="1"/>
  <c r="G231" i="6" s="1"/>
  <c r="G232" i="6" s="1"/>
  <c r="G233" i="6" s="1"/>
  <c r="G234" i="6" s="1"/>
  <c r="C5" i="2" l="1"/>
  <c r="I5" i="2" s="1"/>
  <c r="J5" i="2" s="1"/>
  <c r="C4" i="2"/>
  <c r="C3" i="2"/>
  <c r="C2" i="2"/>
  <c r="I2" i="2" s="1"/>
  <c r="F347" i="6" l="1"/>
  <c r="E347" i="6"/>
  <c r="G310" i="6"/>
  <c r="G311" i="6" s="1"/>
  <c r="G312" i="6" s="1"/>
  <c r="G313" i="6" s="1"/>
  <c r="G314" i="6" s="1"/>
  <c r="G315" i="6" s="1"/>
  <c r="G316" i="6" s="1"/>
  <c r="G317" i="6" s="1"/>
  <c r="G318" i="6" s="1"/>
  <c r="G319" i="6" s="1"/>
  <c r="G320" i="6" s="1"/>
  <c r="G321" i="6" s="1"/>
  <c r="G322" i="6" s="1"/>
  <c r="G323" i="6" s="1"/>
  <c r="G324" i="6" s="1"/>
  <c r="G325" i="6" s="1"/>
  <c r="G326" i="6" s="1"/>
  <c r="G327" i="6" s="1"/>
  <c r="G328" i="6" s="1"/>
  <c r="G329" i="6" s="1"/>
  <c r="G330" i="6" s="1"/>
  <c r="G331" i="6" s="1"/>
  <c r="G332" i="6" s="1"/>
  <c r="G333" i="6" s="1"/>
  <c r="G334" i="6" s="1"/>
  <c r="G335" i="6" s="1"/>
  <c r="G336" i="6" s="1"/>
  <c r="G337" i="6" s="1"/>
  <c r="G338" i="6" s="1"/>
  <c r="G339" i="6" s="1"/>
  <c r="G340" i="6" s="1"/>
  <c r="G341" i="6" s="1"/>
  <c r="E278" i="6" l="1"/>
  <c r="F278" i="6"/>
  <c r="G259" i="6"/>
  <c r="G260" i="6" s="1"/>
  <c r="G261" i="6" s="1"/>
  <c r="G262" i="6" s="1"/>
  <c r="G263" i="6" s="1"/>
  <c r="G264" i="6" s="1"/>
  <c r="G265" i="6" s="1"/>
  <c r="G266" i="6" s="1"/>
  <c r="G267" i="6" s="1"/>
  <c r="G268" i="6" s="1"/>
  <c r="G269" i="6" s="1"/>
  <c r="G270" i="6" s="1"/>
  <c r="G271" i="6" s="1"/>
  <c r="G272" i="6" s="1"/>
  <c r="G273" i="6" s="1"/>
  <c r="G274" i="6" s="1"/>
  <c r="G275" i="6" s="1"/>
  <c r="G276" i="6" s="1"/>
  <c r="G277" i="6" s="1"/>
  <c r="G241" i="6" l="1"/>
  <c r="G242" i="6" s="1"/>
  <c r="G243" i="6" s="1"/>
  <c r="G244" i="6" s="1"/>
  <c r="G245" i="6" s="1"/>
  <c r="G246" i="6" s="1"/>
  <c r="G247" i="6" s="1"/>
  <c r="G248" i="6" s="1"/>
  <c r="G249" i="6" s="1"/>
  <c r="G250" i="6" s="1"/>
  <c r="G251" i="6" s="1"/>
  <c r="G252" i="6" s="1"/>
  <c r="G253" i="6" s="1"/>
  <c r="G254" i="6" s="1"/>
  <c r="G182" i="6" l="1"/>
  <c r="G183" i="6" s="1"/>
  <c r="G184" i="6" s="1"/>
  <c r="G185" i="6" s="1"/>
  <c r="G186" i="6" s="1"/>
  <c r="G187" i="6" s="1"/>
  <c r="G188" i="6" s="1"/>
  <c r="G189" i="6" s="1"/>
  <c r="G190" i="6" s="1"/>
  <c r="G191" i="6" s="1"/>
  <c r="G192" i="6" s="1"/>
  <c r="G193" i="6" s="1"/>
  <c r="G194" i="6" s="1"/>
  <c r="G195" i="6" s="1"/>
  <c r="G196" i="6" s="1"/>
  <c r="G197" i="6" s="1"/>
  <c r="G198" i="6" s="1"/>
  <c r="G151" i="6" l="1"/>
  <c r="G152" i="6" s="1"/>
  <c r="G153" i="6" s="1"/>
  <c r="G154" i="6" s="1"/>
  <c r="G155" i="6" s="1"/>
  <c r="G156" i="6" s="1"/>
  <c r="G157" i="6" s="1"/>
  <c r="G158" i="6" s="1"/>
  <c r="G159" i="6" s="1"/>
  <c r="G160" i="6" s="1"/>
  <c r="G161" i="6" s="1"/>
  <c r="G162" i="6" s="1"/>
  <c r="G163" i="6" s="1"/>
  <c r="G164" i="6" s="1"/>
  <c r="G165" i="6" s="1"/>
  <c r="G166" i="6" s="1"/>
  <c r="G167" i="6" s="1"/>
  <c r="G168" i="6" s="1"/>
  <c r="G169" i="6" s="1"/>
  <c r="G170" i="6" s="1"/>
  <c r="G171" i="6" s="1"/>
  <c r="G172" i="6" s="1"/>
  <c r="G173" i="6" s="1"/>
  <c r="G174" i="6" s="1"/>
  <c r="G175" i="6" s="1"/>
  <c r="G176" i="6" s="1"/>
  <c r="G130" i="6" l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G141" i="6" s="1"/>
  <c r="G142" i="6" s="1"/>
  <c r="G143" i="6" s="1"/>
  <c r="G5" i="6" l="1"/>
  <c r="G6" i="6" s="1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3" i="3" l="1"/>
  <c r="G4" i="3" s="1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E110" i="3"/>
  <c r="E23" i="3"/>
  <c r="G24" i="6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E40" i="6"/>
  <c r="F40" i="6"/>
  <c r="G23" i="3" l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H25" i="2" s="1"/>
  <c r="G40" i="6"/>
  <c r="H3" i="2" s="1"/>
  <c r="F23" i="7" l="1"/>
  <c r="G352" i="6"/>
  <c r="F370" i="6"/>
  <c r="E370" i="6"/>
  <c r="G370" i="6" l="1"/>
  <c r="H16" i="2" s="1"/>
  <c r="G3" i="4"/>
  <c r="G4" i="4" s="1"/>
  <c r="G5" i="4" s="1"/>
  <c r="G6" i="4" s="1"/>
  <c r="G7" i="4" s="1"/>
  <c r="G8" i="4" s="1"/>
  <c r="G9" i="4" s="1"/>
  <c r="G10" i="4" s="1"/>
  <c r="C41" i="9" l="1"/>
  <c r="G77" i="22" l="1"/>
  <c r="D19" i="2" l="1"/>
  <c r="D21" i="5"/>
  <c r="C42" i="9" l="1"/>
  <c r="F19" i="7" l="1"/>
  <c r="F18" i="7"/>
  <c r="E15" i="9" l="1"/>
  <c r="D15" i="9"/>
  <c r="G278" i="6" l="1"/>
  <c r="H12" i="2" s="1"/>
  <c r="J15" i="9"/>
  <c r="J28" i="9"/>
  <c r="B28" i="9" s="1"/>
  <c r="E28" i="9"/>
  <c r="F28" i="9"/>
  <c r="G28" i="9"/>
  <c r="D28" i="9"/>
  <c r="H41" i="9"/>
  <c r="F181" i="22"/>
  <c r="F180" i="22"/>
  <c r="F179" i="22"/>
  <c r="F178" i="22"/>
  <c r="F15" i="22"/>
  <c r="F177" i="22"/>
  <c r="F176" i="22"/>
  <c r="F175" i="22"/>
  <c r="F174" i="22"/>
  <c r="F173" i="22"/>
  <c r="F172" i="22"/>
  <c r="F171" i="22"/>
  <c r="F14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3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8" i="22"/>
  <c r="F76" i="22"/>
  <c r="F79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40" i="22"/>
  <c r="F39" i="22"/>
  <c r="F37" i="22"/>
  <c r="F36" i="22"/>
  <c r="F35" i="22"/>
  <c r="F34" i="22"/>
  <c r="F33" i="22"/>
  <c r="F38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2" i="22"/>
  <c r="F11" i="22"/>
  <c r="F10" i="22"/>
  <c r="F9" i="22"/>
  <c r="F8" i="22"/>
  <c r="F7" i="22"/>
  <c r="F6" i="22"/>
  <c r="F5" i="22"/>
  <c r="F4" i="22"/>
  <c r="F3" i="22"/>
  <c r="F2" i="22"/>
  <c r="F15" i="9" l="1"/>
  <c r="G15" i="9"/>
  <c r="D2" i="9"/>
  <c r="D42" i="9" s="1"/>
  <c r="J3" i="9"/>
  <c r="E2" i="9"/>
  <c r="G2" i="9"/>
  <c r="F2" i="9"/>
  <c r="B2" i="9" l="1"/>
  <c r="H3" i="9" s="1"/>
  <c r="E42" i="9"/>
  <c r="I2" i="9"/>
  <c r="G42" i="9"/>
  <c r="F42" i="9"/>
  <c r="H2" i="9"/>
  <c r="F17" i="2"/>
  <c r="I25" i="2" l="1"/>
  <c r="C19" i="2"/>
  <c r="C13" i="2" l="1"/>
  <c r="C12" i="2"/>
  <c r="G347" i="6"/>
  <c r="H13" i="2" s="1"/>
  <c r="F342" i="6"/>
  <c r="E342" i="6"/>
  <c r="F255" i="6"/>
  <c r="E255" i="6"/>
  <c r="F199" i="6"/>
  <c r="E199" i="6"/>
  <c r="F177" i="6"/>
  <c r="E177" i="6"/>
  <c r="F19" i="6"/>
  <c r="E19" i="6"/>
  <c r="D29" i="2"/>
  <c r="G19" i="6" l="1"/>
  <c r="H2" i="2" s="1"/>
  <c r="G177" i="6"/>
  <c r="H9" i="2" s="1"/>
  <c r="G255" i="6"/>
  <c r="H11" i="2" s="1"/>
  <c r="G17" i="2"/>
  <c r="G199" i="6"/>
  <c r="H10" i="2" s="1"/>
  <c r="C17" i="2"/>
  <c r="D17" i="2"/>
  <c r="E17" i="2"/>
  <c r="I16" i="2"/>
  <c r="J16" i="2" s="1"/>
  <c r="I3" i="2"/>
  <c r="G342" i="6"/>
  <c r="H15" i="2" s="1"/>
  <c r="I41" i="9" l="1"/>
  <c r="F156" i="1" l="1"/>
  <c r="F138" i="1"/>
  <c r="F137" i="1"/>
  <c r="F98" i="1"/>
  <c r="F83" i="1"/>
  <c r="F82" i="1"/>
  <c r="F81" i="1"/>
  <c r="F25" i="4"/>
  <c r="E25" i="4"/>
  <c r="G25" i="4" l="1"/>
  <c r="I12" i="2" l="1"/>
  <c r="J12" i="2" s="1"/>
  <c r="I13" i="2"/>
  <c r="J13" i="2" s="1"/>
  <c r="I14" i="2"/>
  <c r="J14" i="2" s="1"/>
  <c r="I15" i="2"/>
  <c r="J15" i="2" s="1"/>
  <c r="D35" i="5" l="1"/>
  <c r="D53" i="5" s="1"/>
  <c r="H19" i="2" s="1"/>
  <c r="I29" i="9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28" i="9"/>
  <c r="I16" i="9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15" i="9"/>
  <c r="I3" i="9"/>
  <c r="I4" i="9" s="1"/>
  <c r="I5" i="9" s="1"/>
  <c r="I6" i="9" s="1"/>
  <c r="I7" i="9" s="1"/>
  <c r="I8" i="9" s="1"/>
  <c r="I9" i="9" s="1"/>
  <c r="I10" i="9" s="1"/>
  <c r="I11" i="9" s="1"/>
  <c r="I12" i="9" s="1"/>
  <c r="I13" i="9" s="1"/>
  <c r="I14" i="9" s="1"/>
  <c r="H4" i="9"/>
  <c r="H5" i="9" s="1"/>
  <c r="H6" i="9" s="1"/>
  <c r="H7" i="9" s="1"/>
  <c r="H8" i="9" s="1"/>
  <c r="H9" i="9" s="1"/>
  <c r="H10" i="9" s="1"/>
  <c r="H11" i="9" s="1"/>
  <c r="H12" i="9" s="1"/>
  <c r="H13" i="9" s="1"/>
  <c r="H14" i="9" s="1"/>
  <c r="I42" i="9" l="1"/>
  <c r="D56" i="5"/>
  <c r="F17" i="7"/>
  <c r="F16" i="7"/>
  <c r="F15" i="7"/>
  <c r="F14" i="7"/>
  <c r="F11" i="7"/>
  <c r="F10" i="7"/>
  <c r="F9" i="7"/>
  <c r="F8" i="7"/>
  <c r="F7" i="7"/>
  <c r="F20" i="7" l="1"/>
  <c r="F22" i="7" s="1"/>
  <c r="F24" i="7" s="1"/>
  <c r="I4" i="2"/>
  <c r="I6" i="2"/>
  <c r="I7" i="2"/>
  <c r="I8" i="2"/>
  <c r="I9" i="2"/>
  <c r="I10" i="2"/>
  <c r="I11" i="2"/>
  <c r="H20" i="2"/>
  <c r="F20" i="2"/>
  <c r="I17" i="2" l="1"/>
  <c r="G20" i="2"/>
  <c r="C20" i="2"/>
  <c r="C29" i="2" s="1"/>
  <c r="E20" i="2"/>
  <c r="E23" i="2" s="1"/>
  <c r="E29" i="2" s="1"/>
  <c r="J8" i="2"/>
  <c r="J9" i="2"/>
  <c r="J7" i="2"/>
  <c r="J2" i="2"/>
  <c r="J3" i="2"/>
  <c r="J10" i="2"/>
  <c r="J11" i="2"/>
  <c r="J6" i="2"/>
  <c r="J25" i="2"/>
  <c r="I19" i="2"/>
  <c r="J19" i="2" s="1"/>
  <c r="D20" i="2"/>
  <c r="I20" i="2" l="1"/>
  <c r="J20" i="2" s="1"/>
  <c r="I29" i="2" l="1"/>
  <c r="H44" i="9" l="1"/>
  <c r="H28" i="9"/>
  <c r="H29" i="9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B15" i="9"/>
  <c r="B42" i="9" s="1"/>
  <c r="B45" i="9" s="1"/>
  <c r="H15" i="9" l="1"/>
  <c r="H16" i="9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42" i="9" l="1"/>
  <c r="H45" i="9" s="1"/>
  <c r="G11" i="4"/>
  <c r="G353" i="6" l="1"/>
  <c r="G354" i="6" s="1"/>
  <c r="G355" i="6" s="1"/>
  <c r="G356" i="6" s="1"/>
  <c r="G357" i="6" s="1"/>
  <c r="G358" i="6" s="1"/>
  <c r="G359" i="6" s="1"/>
  <c r="G360" i="6" s="1"/>
  <c r="G361" i="6" s="1"/>
  <c r="G362" i="6" s="1"/>
  <c r="G363" i="6" s="1"/>
  <c r="G364" i="6" s="1"/>
  <c r="G365" i="6" s="1"/>
  <c r="G366" i="6" s="1"/>
  <c r="G367" i="6" s="1"/>
  <c r="G368" i="6" s="1"/>
  <c r="G369" i="6" s="1"/>
  <c r="F123" i="6"/>
  <c r="G123" i="6" s="1"/>
  <c r="H4" i="2" s="1"/>
  <c r="G47" i="6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H17" i="2" l="1"/>
  <c r="J4" i="2"/>
  <c r="H29" i="2" l="1"/>
  <c r="J29" i="2" s="1"/>
  <c r="J17" i="2"/>
</calcChain>
</file>

<file path=xl/comments1.xml><?xml version="1.0" encoding="utf-8"?>
<comments xmlns="http://schemas.openxmlformats.org/spreadsheetml/2006/main">
  <authors>
    <author>tc={A12D1BC1-2A0A-4E82-995E-AE42C351895A}</author>
    <author>tc={B9DA9024-4CA0-46CF-BCB7-17B9FFFC34E0}</author>
    <author>tc={62FAAB4B-6EAF-4972-9E02-C37D118F3FE1}</author>
    <author>tc={CD553CA5-AD13-43FC-A1F7-EF2DE5EF7A94}</author>
    <author>tc={5991BF77-FCF5-4586-9875-1F89E2825A51}</author>
    <author>tc={D10F2EAC-DC88-4867-AF3C-128AC3A279F6}</author>
    <author>tc={E4BF8878-824E-43F9-ABC1-A73CD708EDCD}</author>
    <author>tc={5E3CEF0F-AC62-41D5-A934-AC03EDB0B8D2}</author>
    <author>tc={A6199460-FC62-44E6-AB78-D712E7363C57}</author>
  </authors>
  <commentList>
    <comment ref="C2" authorId="0" shapeId="0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personal balance</t>
        </r>
      </text>
    </comment>
    <comment ref="D2" authorId="1" shapeId="0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pivot table „Cash journal“</t>
        </r>
      </text>
    </comment>
    <comment ref="E2" authorId="2" shapeId="0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pivot table „data“</t>
        </r>
      </text>
    </comment>
    <comment ref="H2" authorId="3" shapeId="0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personal balance</t>
        </r>
      </text>
    </comment>
    <comment ref="I2" authorId="4" shapeId="0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formula</t>
        </r>
      </text>
    </comment>
    <comment ref="C19" authorId="5" shapeId="0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bank journal</t>
        </r>
      </text>
    </comment>
    <comment ref="I19" authorId="6" shapeId="0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bank journal</t>
        </r>
      </text>
    </comment>
    <comment ref="C25" authorId="7" shapeId="0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cash journal</t>
        </r>
      </text>
    </comment>
    <comment ref="H25" authorId="8" shapeId="0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cash journal</t>
        </r>
      </text>
    </comment>
  </commentList>
</comments>
</file>

<file path=xl/comments2.xml><?xml version="1.0" encoding="utf-8"?>
<comments xmlns="http://schemas.openxmlformats.org/spreadsheetml/2006/main">
  <authors>
    <author>Tiffany Gobert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Tiffany Gobert:</t>
        </r>
        <r>
          <rPr>
            <sz val="9"/>
            <color indexed="81"/>
            <rFont val="Tahoma"/>
            <family val="2"/>
          </rPr>
          <t xml:space="preserve">
Solde de cloture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Tiffany Gobert:</t>
        </r>
        <r>
          <rPr>
            <sz val="9"/>
            <color indexed="81"/>
            <rFont val="Tahoma"/>
            <family val="2"/>
          </rPr>
          <t xml:space="preserve">
N'est pas passé sur le mois de Février
</t>
        </r>
      </text>
    </comment>
  </commentList>
</comments>
</file>

<file path=xl/comments3.xml><?xml version="1.0" encoding="utf-8"?>
<comments xmlns="http://schemas.openxmlformats.org/spreadsheetml/2006/main">
  <authors>
    <author>tc={C1DF0F66-A833-40DC-8B4A-5A54471ED649}</author>
    <author>tc={F88D673A-DD35-4DCB-976B-8A96F322437E}</author>
  </authors>
  <commentList>
    <comment ref="C6" authorId="0" shapeId="0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Adjust that according to your country</t>
        </r>
      </text>
    </comment>
    <comment ref="F23" authorId="1" shapeId="0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cash journal</t>
        </r>
      </text>
    </comment>
  </commentList>
</comments>
</file>

<file path=xl/sharedStrings.xml><?xml version="1.0" encoding="utf-8"?>
<sst xmlns="http://schemas.openxmlformats.org/spreadsheetml/2006/main" count="6812" uniqueCount="1075">
  <si>
    <t>Date</t>
  </si>
  <si>
    <t>Details</t>
  </si>
  <si>
    <t>Type of expenses</t>
  </si>
  <si>
    <t xml:space="preserve">Department </t>
  </si>
  <si>
    <t>Spent in $</t>
  </si>
  <si>
    <t>Exchange Rate $</t>
  </si>
  <si>
    <t>Receipt</t>
  </si>
  <si>
    <t>Project</t>
  </si>
  <si>
    <t>Donor</t>
  </si>
  <si>
    <t>Country</t>
  </si>
  <si>
    <t>Name</t>
  </si>
  <si>
    <t>Department</t>
  </si>
  <si>
    <t>Received</t>
  </si>
  <si>
    <t>Spent</t>
  </si>
  <si>
    <t>Accounting Balance</t>
  </si>
  <si>
    <t>Cross-checking</t>
  </si>
  <si>
    <t>Transfer In</t>
  </si>
  <si>
    <t>Transfer  out</t>
  </si>
  <si>
    <t>TOTAL STAFF</t>
  </si>
  <si>
    <t>TOTAL Banks</t>
  </si>
  <si>
    <t>control of internal transfers</t>
  </si>
  <si>
    <t xml:space="preserve">Total expenses </t>
  </si>
  <si>
    <t>Cash Box</t>
  </si>
  <si>
    <t>MOVEMENTS</t>
  </si>
  <si>
    <t>EXPENSES</t>
  </si>
  <si>
    <t>ACCOUNTING BALANCE</t>
  </si>
  <si>
    <t>CROSS-CHECKING</t>
  </si>
  <si>
    <t>OVERALL BALANCE</t>
  </si>
  <si>
    <t>BANK 1</t>
  </si>
  <si>
    <t xml:space="preserve">Spent </t>
  </si>
  <si>
    <t>Balance</t>
  </si>
  <si>
    <t>GRANTS RECEIVED</t>
  </si>
  <si>
    <t>EAGLE NETWORK</t>
  </si>
  <si>
    <t xml:space="preserve">PROJECT: </t>
  </si>
  <si>
    <t>MONTH</t>
  </si>
  <si>
    <t xml:space="preserve">Bank reconciliation statments </t>
  </si>
  <si>
    <t>ACCOUNTING</t>
  </si>
  <si>
    <t xml:space="preserve">n° </t>
  </si>
  <si>
    <t>Description</t>
  </si>
  <si>
    <t>Débit</t>
  </si>
  <si>
    <t>Crédit</t>
  </si>
  <si>
    <t>Bank balance</t>
  </si>
  <si>
    <t>Account Balance</t>
  </si>
  <si>
    <t>PROJECT COORDINATOR</t>
  </si>
  <si>
    <t>BANK</t>
  </si>
  <si>
    <t>No</t>
  </si>
  <si>
    <t>Amount</t>
  </si>
  <si>
    <t>Add:</t>
  </si>
  <si>
    <t>Unpresented cheques</t>
  </si>
  <si>
    <t>Less:</t>
  </si>
  <si>
    <t>Direct Debits (Bank Charges)</t>
  </si>
  <si>
    <t>Balance as per the bank statement</t>
  </si>
  <si>
    <t>Difference</t>
  </si>
  <si>
    <t>Reason for the Difference.</t>
  </si>
  <si>
    <t>currency</t>
  </si>
  <si>
    <t>Balance as per the accounting</t>
  </si>
  <si>
    <t>Signature accountant</t>
  </si>
  <si>
    <t>signature coordinator</t>
  </si>
  <si>
    <t xml:space="preserve"> Reconciliation Statement </t>
  </si>
  <si>
    <t>Paper Notes</t>
  </si>
  <si>
    <t>x</t>
  </si>
  <si>
    <t>Coins</t>
  </si>
  <si>
    <t>cash balance</t>
  </si>
  <si>
    <t>account balance</t>
  </si>
  <si>
    <t>difference</t>
  </si>
  <si>
    <t xml:space="preserve">Reason for Difference: </t>
  </si>
  <si>
    <t>value</t>
  </si>
  <si>
    <t>number</t>
  </si>
  <si>
    <t>Accountant:</t>
  </si>
  <si>
    <t>Coordinator:</t>
  </si>
  <si>
    <t>Project:</t>
  </si>
  <si>
    <t>Month:</t>
  </si>
  <si>
    <t>Year:</t>
  </si>
  <si>
    <t>Comments</t>
  </si>
  <si>
    <t>comments</t>
  </si>
  <si>
    <t>Balance  in USD</t>
  </si>
  <si>
    <t>exchange rate</t>
  </si>
  <si>
    <t>Opening Balance local currency</t>
  </si>
  <si>
    <t>Opening Balance USD</t>
  </si>
  <si>
    <t>Donated local currency</t>
  </si>
  <si>
    <t>Donated USD</t>
  </si>
  <si>
    <t>Used in local currency</t>
  </si>
  <si>
    <t>Used in USD</t>
  </si>
  <si>
    <t>Balance in local currency</t>
  </si>
  <si>
    <t>January</t>
  </si>
  <si>
    <t>February</t>
  </si>
  <si>
    <t xml:space="preserve">March </t>
  </si>
  <si>
    <t>April</t>
  </si>
  <si>
    <t xml:space="preserve">May </t>
  </si>
  <si>
    <t>June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</si>
  <si>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</si>
  <si>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</si>
  <si>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</si>
  <si>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</si>
  <si>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</si>
  <si>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</si>
  <si>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Total</t>
  </si>
  <si>
    <t>Balance in financial report</t>
  </si>
  <si>
    <t>Bank name: BCI</t>
  </si>
  <si>
    <t>Account name:  01100-37107202652-34</t>
  </si>
  <si>
    <t>PALF</t>
  </si>
  <si>
    <t>Relevé</t>
  </si>
  <si>
    <t>Reglement loyer du mois de Janvier 2025/3654789</t>
  </si>
  <si>
    <t>Reglement Facture Gardiennage Mois de Janvier 2025/36564792</t>
  </si>
  <si>
    <t>Solde honoraire contrat n°79 Dolisie cas BOUTSANA et Consorts/ Maître BANZOUZI Alain</t>
  </si>
  <si>
    <t>Solde honoraire contrat n°67 Sibiti et Consorts/ Maître Helene</t>
  </si>
  <si>
    <t>RAPATRIEME01100 RAO00010730</t>
  </si>
  <si>
    <t>Paiement salaire du mois de Janvier 2025</t>
  </si>
  <si>
    <t>Paiement salaire du mois de Janvier 2025/Loundou Jean Romain</t>
  </si>
  <si>
    <t>Paiement salaire du mois de Janvier 2025/Crepin IBOUILI IBOUILI</t>
  </si>
  <si>
    <t>Paiement salaire du mois de Janvier 2025/Merveille MAHANGA</t>
  </si>
  <si>
    <t>Paiement salaire du mois de Janvier 2025 et congé/PINDI BINGA Donald-Roméo</t>
  </si>
  <si>
    <t>Paiement salaire du mois de Janvier 2025/BOUNGOU Abraham</t>
  </si>
  <si>
    <t>Paiement salaire du mois de Janvier 2025/FOUMBA Roderlin</t>
  </si>
  <si>
    <t>Paiement salaire du mois de Janvier 2025/Evariste LELOUSSI</t>
  </si>
  <si>
    <t>Frais de virement salaire Janvier 2025</t>
  </si>
  <si>
    <t>Reglement honoraire du mois de Janvier 2025/G12</t>
  </si>
  <si>
    <t>Reglement honoraire du mois de Janvier 2025/T73</t>
  </si>
  <si>
    <t>Reglement honoraire du mois de Janvier 2025/P29</t>
  </si>
  <si>
    <t>Reglement honoraire du mois de Janvier 2025/TIT87</t>
  </si>
  <si>
    <t>Legal</t>
  </si>
  <si>
    <t>Office</t>
  </si>
  <si>
    <t>Management</t>
  </si>
  <si>
    <t>Media</t>
  </si>
  <si>
    <t>Investigation</t>
  </si>
  <si>
    <t>Type de depense</t>
  </si>
  <si>
    <t>Lawyer Fees</t>
  </si>
  <si>
    <t>Versement</t>
  </si>
  <si>
    <t>Grant</t>
  </si>
  <si>
    <t>Rent &amp; Utilities</t>
  </si>
  <si>
    <t>Personnel</t>
  </si>
  <si>
    <t>Bank fees</t>
  </si>
  <si>
    <t>Service</t>
  </si>
  <si>
    <t>BQ-J-R1</t>
  </si>
  <si>
    <t>BQ-J-R2</t>
  </si>
  <si>
    <t>BQ-J-G1</t>
  </si>
  <si>
    <t>BQ-J-R3</t>
  </si>
  <si>
    <t>BQ-J-R4</t>
  </si>
  <si>
    <t>BQ-J-R5</t>
  </si>
  <si>
    <t>BQ-J-R6</t>
  </si>
  <si>
    <t>BQ-J-R7</t>
  </si>
  <si>
    <t>BQ-J-R8</t>
  </si>
  <si>
    <t>BQ-J-R9</t>
  </si>
  <si>
    <t>BQ-J-R10</t>
  </si>
  <si>
    <t>BQ-J-R11</t>
  </si>
  <si>
    <t>BQ-J-R12</t>
  </si>
  <si>
    <t>BQ-J-R13</t>
  </si>
  <si>
    <t>BQ-J-R14</t>
  </si>
  <si>
    <t>BQ-J-R15</t>
  </si>
  <si>
    <t>BQ-J-R16</t>
  </si>
  <si>
    <t>BQ-J-R17</t>
  </si>
  <si>
    <t>BQ-J-R18</t>
  </si>
  <si>
    <t>BCI</t>
  </si>
  <si>
    <t>Receved in XAF</t>
  </si>
  <si>
    <t>Spent  in XAF</t>
  </si>
  <si>
    <t>Achat credit MTN/Benin pour internet  et communication</t>
  </si>
  <si>
    <t>Telephone</t>
  </si>
  <si>
    <t>DOVI</t>
  </si>
  <si>
    <t>DH-J-R1</t>
  </si>
  <si>
    <t>Wildcat</t>
  </si>
  <si>
    <t>CONGO</t>
  </si>
  <si>
    <t>Achat credit  teléphonique MTN/PALF/Première partie du mois de Janvier 2025/Office</t>
  </si>
  <si>
    <t>Merveille</t>
  </si>
  <si>
    <t>CA-J-R1</t>
  </si>
  <si>
    <t>Achat credit  teléphonique MTN/PALF/Première partie du mois de Janvier 2025/Legal</t>
  </si>
  <si>
    <t>CA-J-R2</t>
  </si>
  <si>
    <t>Achat credit  teléphonique MTN/PALF/Première partie du mois de Janvier 2025/Investigation</t>
  </si>
  <si>
    <t>CA-J-R3</t>
  </si>
  <si>
    <t>Achat credit  teléphonique MTN/PALF/Première partie du mois de Janvier 2025/Media</t>
  </si>
  <si>
    <t>CA-J-R4</t>
  </si>
  <si>
    <t>Achat credit  teléphonique Airtel/PALF/Première partie du mois de Janvier 2025/Legal</t>
  </si>
  <si>
    <t>CA-J-R5</t>
  </si>
  <si>
    <t>Achat credit  teléphonique Airtel/PALF/Première partie du mois de Janvier 2025/Investigation</t>
  </si>
  <si>
    <t>CA-J-R6</t>
  </si>
  <si>
    <t>Achat credit  teléphonique Airtel/PALF/Première partie du mois de Janvier 2025/Media</t>
  </si>
  <si>
    <t>CA-J-R7</t>
  </si>
  <si>
    <t>Achat eau mineral 10 bidons de 16,5Litres pour le bureau PALF</t>
  </si>
  <si>
    <t>Office Materiels</t>
  </si>
  <si>
    <t>CA-J-R8</t>
  </si>
  <si>
    <t>Transport</t>
  </si>
  <si>
    <t>investigation</t>
  </si>
  <si>
    <t>T73</t>
  </si>
  <si>
    <t>T73-J-R1</t>
  </si>
  <si>
    <t>Travel Subsistence</t>
  </si>
  <si>
    <t>T73-J-D1</t>
  </si>
  <si>
    <t>Achat billet d'Avion Retour Cotonou - Brazzaville/DOVI</t>
  </si>
  <si>
    <t>DH-J-R2</t>
  </si>
  <si>
    <t>Frais de transfert d'argent à DOVI</t>
  </si>
  <si>
    <t>Transfert fees</t>
  </si>
  <si>
    <t>CA-J-R9</t>
  </si>
  <si>
    <t>P29</t>
  </si>
  <si>
    <t>P29-J-R1</t>
  </si>
  <si>
    <t>Achat de Billet Brazzaville-Owando/Romain</t>
  </si>
  <si>
    <t>Romain</t>
  </si>
  <si>
    <t>RM-J-R1</t>
  </si>
  <si>
    <t>Achat billet Brazzaville - Owando/Abraham</t>
  </si>
  <si>
    <t>Abraham</t>
  </si>
  <si>
    <t>AB-J-R1</t>
  </si>
  <si>
    <t>Frais de transfert d'argent à T73</t>
  </si>
  <si>
    <t>Roderlin</t>
  </si>
  <si>
    <t>CA-J-R10</t>
  </si>
  <si>
    <t>Achat billet Brazzaville-Owando/Donald-Roméo</t>
  </si>
  <si>
    <t xml:space="preserve">Transport </t>
  </si>
  <si>
    <t>Donald-Roméo</t>
  </si>
  <si>
    <t>DR-J-R1</t>
  </si>
  <si>
    <t>Billet: Brazzaville-Owando/Crepin</t>
  </si>
  <si>
    <t>Operation</t>
  </si>
  <si>
    <t>Crépin</t>
  </si>
  <si>
    <t>CR-J-R1</t>
  </si>
  <si>
    <t>OAK</t>
  </si>
  <si>
    <t>P29-J-D1</t>
  </si>
  <si>
    <t>ROMAIN-CONGO Food Alowance du 09 au 25  janvier à Owando(16 Nuitées)</t>
  </si>
  <si>
    <t>RM-J-D1</t>
  </si>
  <si>
    <t>ABRAHAM - CONGO food allowance du 09 au 17/01/2025 à Owando (08Nuitées)</t>
  </si>
  <si>
    <t>AB-J-D1</t>
  </si>
  <si>
    <t>Frais de transfert d'argent à P29 et Romain</t>
  </si>
  <si>
    <t>CA-J-R11</t>
  </si>
  <si>
    <t>Donald-Roméo - CONGO Food Allowance Mission du  09 au 19/01/2025 à Owando</t>
  </si>
  <si>
    <t>DR-J-D1</t>
  </si>
  <si>
    <t>Achat billet Brazzaville-Owando/Evariste</t>
  </si>
  <si>
    <t>Evariste</t>
  </si>
  <si>
    <t>EV-J-R1</t>
  </si>
  <si>
    <t>CREPIN IBOUILI - CONGO Food-Allowance à Owando du 10 au 25/01/2025/(15 Nuitées)</t>
  </si>
  <si>
    <t>CR-J-D1</t>
  </si>
  <si>
    <t>CA-J-R12</t>
  </si>
  <si>
    <t>Reglement facture d'electricité periode Novembre - Decembre 2024/Bureau PALF</t>
  </si>
  <si>
    <t>CA-J-R13</t>
  </si>
  <si>
    <t>EVARISTE - CONGO Food Allowance du 10 au 17 janvier 2025 mission à Owando (7 nuitées)</t>
  </si>
  <si>
    <t>EV-J-D1</t>
  </si>
  <si>
    <t>CREPIN IBOUILI  - CONGO Frais d'hôtel à Owando du 10 au 13/01/2025 (03 Nuitées)</t>
  </si>
  <si>
    <t>CR-J-R2</t>
  </si>
  <si>
    <t>P29-J-R2</t>
  </si>
  <si>
    <t>CA-J-R14</t>
  </si>
  <si>
    <t>Frais de transfert d'argent à Romain,P29 et Donald-Roméo</t>
  </si>
  <si>
    <t>CA-J-R15</t>
  </si>
  <si>
    <t>Raffraichissement et plats avec 03 gendarmes pendant l'attente du top</t>
  </si>
  <si>
    <t>CR-J-R3</t>
  </si>
  <si>
    <t>Achat credit  teléphonique MTN/PALF/Deuxième partie du mois de Janvier 2025/Management</t>
  </si>
  <si>
    <t>CA-J-R17</t>
  </si>
  <si>
    <t>Achat credit  teléphonique MTN/PALF/Deuxième partie du mois de Janvier 2025/Legal</t>
  </si>
  <si>
    <t>CA-J-R18</t>
  </si>
  <si>
    <t>Achat credit  teléphonique MTN/PALF/Deuxième partie du mois de Janvier 2025/Investigation</t>
  </si>
  <si>
    <t>CA-J-R19</t>
  </si>
  <si>
    <t>Achat credit  teléphonique MTN/PALF/Deuxième partie du mois de Janvier 2025/Media</t>
  </si>
  <si>
    <t>CA-J-R20</t>
  </si>
  <si>
    <t>Achat credit  teléphonique Airtel/PALF/Deuxième partie du mois de Janvier 2025/Legal</t>
  </si>
  <si>
    <t>CA-J-R21</t>
  </si>
  <si>
    <t>Achat credit  teléphonique Airtel/PALF/Deuxième partie du mois de Janvier 2025/Investigation</t>
  </si>
  <si>
    <t>CA-J-R22</t>
  </si>
  <si>
    <t>P29-J-R3</t>
  </si>
  <si>
    <t>T73-J-R2</t>
  </si>
  <si>
    <t>Location  1 Taxis pour l'opération (Gendarmerie-Hotel  la Concorde:Aller-Retour)</t>
  </si>
  <si>
    <t>RM-J-R2</t>
  </si>
  <si>
    <t>RM-J-R3</t>
  </si>
  <si>
    <t xml:space="preserve">Rafraichissement en attente opération </t>
  </si>
  <si>
    <t>RM-J-R4</t>
  </si>
  <si>
    <t>ABRAHAM - CONGO frais d'Hôtel (Hôtel Joela) du 09 au 15/01/2025 Owando (06Nuitées)</t>
  </si>
  <si>
    <t>AB-J-R2</t>
  </si>
  <si>
    <t>Rafraîchissement attente op</t>
  </si>
  <si>
    <t>AB-J-R3</t>
  </si>
  <si>
    <t>Achat billet Brazzaville-Dolisie/Rodelin</t>
  </si>
  <si>
    <t>RO-J-R1</t>
  </si>
  <si>
    <t>Frais de mission maitre marie Helène à dolisie du 16 au 18/01/2025</t>
  </si>
  <si>
    <t>Lawyer fees</t>
  </si>
  <si>
    <t>CA-J-R16</t>
  </si>
  <si>
    <t>Achat carburant BJ  pour OP</t>
  </si>
  <si>
    <t>DR-J-R2</t>
  </si>
  <si>
    <t>Raffraichissement OP  à Owando/10  gendarmes et moi</t>
  </si>
  <si>
    <t>DR-J-R3</t>
  </si>
  <si>
    <t>Rafraichissement de mon équipe lors de l'opération</t>
  </si>
  <si>
    <t>EV-J-R2</t>
  </si>
  <si>
    <t>Bonus pour 16 gendarmes ayant participé à l'opération du 15 Janvier 2025 à Owando</t>
  </si>
  <si>
    <t>Bonus</t>
  </si>
  <si>
    <t>CR-J-R4</t>
  </si>
  <si>
    <t>Bonus pour 02 EF ayant participé à l'opération du 15 Janvier 2025 à Owando</t>
  </si>
  <si>
    <t>CR-J-R5</t>
  </si>
  <si>
    <t>Frais de transfert d'argent à Crepin,T73 et Evariste</t>
  </si>
  <si>
    <t>CA-J-R23</t>
  </si>
  <si>
    <t>Achat billet Oyo-Brazzaville(Océan du Nord)/Abraham</t>
  </si>
  <si>
    <t>AB-J-R4</t>
  </si>
  <si>
    <t>RODERLIN-CONGO food allowance du 16 au 18/01/2025 à Dolisie (02 nuitées)</t>
  </si>
  <si>
    <t>RO-J-D1</t>
  </si>
  <si>
    <t>Achat billet Owando-Brazzaville/Evariste</t>
  </si>
  <si>
    <t>EV-J-R3</t>
  </si>
  <si>
    <t>Frais de transfert d'argent à Donald-Roméo et Romain</t>
  </si>
  <si>
    <t>CA-J-R24</t>
  </si>
  <si>
    <t>Frais de mission maitre Alain BANZOUZI du 19 au 22/01/2025 à Owando</t>
  </si>
  <si>
    <t>CA-J-R25</t>
  </si>
  <si>
    <t>P29-J-R4</t>
  </si>
  <si>
    <t>P29-J-R5</t>
  </si>
  <si>
    <t>P29-J-R6</t>
  </si>
  <si>
    <t>P29-J-R7</t>
  </si>
  <si>
    <t>T73-J-R3</t>
  </si>
  <si>
    <t>T73-J-R4</t>
  </si>
  <si>
    <t>ABRAHAM - CONGO frais d'Hôtel (Hôtel Saint Benoit) du 17 au 17/01/2025 Oyo (02Nuitées)</t>
  </si>
  <si>
    <t>AB-J-R5</t>
  </si>
  <si>
    <t>Cumul frais de Jail visit du mois de Janvier 2025/Roderlin</t>
  </si>
  <si>
    <t>Jail visits</t>
  </si>
  <si>
    <t>RO-J-D2</t>
  </si>
  <si>
    <t>Achat billet Dolisie -Brazzaville /Roderlin</t>
  </si>
  <si>
    <t>RO-J-R2</t>
  </si>
  <si>
    <t>DR-J-R4</t>
  </si>
  <si>
    <t>EVARISTE - CONGO Frais d'hôtel du 10 au 17 janvier 2025 (7 nuitées) à Owando</t>
  </si>
  <si>
    <t>EV-J-R4</t>
  </si>
  <si>
    <t>RODERLIN-CONGO frais d'hôtel du 16 au 18/01/2025 à DOLISIE (02 nuitées)</t>
  </si>
  <si>
    <t>RO-J-R3</t>
  </si>
  <si>
    <t>DONALD-ROMEO - CONGO Frais d'hôtel du 09 au 19/01/2025 à  Owando (Hôtel  Joella)/ 10 Nuitées</t>
  </si>
  <si>
    <t>DR-J-R5</t>
  </si>
  <si>
    <t>Cumul frais de transport local du mois de Janvier 2025/Donald-Roméo</t>
  </si>
  <si>
    <t>DR-J-D2</t>
  </si>
  <si>
    <t>CA-J-R26</t>
  </si>
  <si>
    <t>Prestation de nettoyage Jardin PALF mois de Janvier 2025</t>
  </si>
  <si>
    <t>Services</t>
  </si>
  <si>
    <t>CA-J-R27</t>
  </si>
  <si>
    <t>T73-J-R5</t>
  </si>
  <si>
    <t>Achat carte sim pour T73</t>
  </si>
  <si>
    <t>Investigation materials</t>
  </si>
  <si>
    <t>T73-J-R16</t>
  </si>
  <si>
    <t>Impréssion de la procédure de la Gendaremrie</t>
  </si>
  <si>
    <t>Office materiels</t>
  </si>
  <si>
    <t>RM-J-R5</t>
  </si>
  <si>
    <t>Cumul frais de jail visit du mois de Janvier 2025/Romain</t>
  </si>
  <si>
    <t>Jail visit</t>
  </si>
  <si>
    <t>RM-J-D2</t>
  </si>
  <si>
    <t>Bonus media portant sur l'operation du 15/01/2025</t>
  </si>
  <si>
    <t>Bonus to media office</t>
  </si>
  <si>
    <t>CA-J-D1</t>
  </si>
  <si>
    <t>IT87</t>
  </si>
  <si>
    <t>IT87-J-D1</t>
  </si>
  <si>
    <t>IT87-J-R1</t>
  </si>
  <si>
    <t>P29-J-R8</t>
  </si>
  <si>
    <t>P29-J-D2</t>
  </si>
  <si>
    <t>T73-J-D2</t>
  </si>
  <si>
    <t>G12</t>
  </si>
  <si>
    <t>G12-J-R1</t>
  </si>
  <si>
    <t>G12 - CONGO Food Allowance du 22  au 30 /01/2025 (08nuitées)</t>
  </si>
  <si>
    <t>G12-J-D1</t>
  </si>
  <si>
    <t>Cumul frais de transport local du mois de Janvier 2025/Abraham</t>
  </si>
  <si>
    <t>AB-J-D2</t>
  </si>
  <si>
    <t xml:space="preserve">Frais de transfert d'argent à Romain </t>
  </si>
  <si>
    <t>CA-J-R28</t>
  </si>
  <si>
    <t>Recharge bouteille de gaz de 12KG/Bureau PALF</t>
  </si>
  <si>
    <t>CA-J-R29</t>
  </si>
  <si>
    <t>Frais de notification contrat Roderlin et Abraham</t>
  </si>
  <si>
    <t>CA-J-R31</t>
  </si>
  <si>
    <t>Frais de transfert d'argent à T73,P29,IT87 et G12</t>
  </si>
  <si>
    <t>CA-J-R30</t>
  </si>
  <si>
    <t>Billet: Owando-Brazzaville/Crepin</t>
  </si>
  <si>
    <t>CR-J-R6</t>
  </si>
  <si>
    <t>IT87-J-R2</t>
  </si>
  <si>
    <t>IT87-J-R3</t>
  </si>
  <si>
    <t>P29-J-R9</t>
  </si>
  <si>
    <t>P29-J-R10</t>
  </si>
  <si>
    <t>T73-J-R6</t>
  </si>
  <si>
    <t>T73-J-R7</t>
  </si>
  <si>
    <t>G12-J-R2</t>
  </si>
  <si>
    <t>G12-J-R3</t>
  </si>
  <si>
    <t>Achat de Billet Owando-Brazzaville/Romain</t>
  </si>
  <si>
    <t>CREPIN IBOUILI  - CONGO Frais d'hôtel à Owando du 15 au 25/01/2025/10 Nuitées</t>
  </si>
  <si>
    <t>CR-J-R7</t>
  </si>
  <si>
    <t>Cumul frais de transport local du mois de Janvier 2025/Crepin</t>
  </si>
  <si>
    <t>CR-J-D2</t>
  </si>
  <si>
    <t>ROMAIN - CONGO Frais d'hôtel de la mission du 09 au 25/2025 à Owando(16 nuitées)</t>
  </si>
  <si>
    <t>RM-J-R7</t>
  </si>
  <si>
    <t>IT87-J-R4</t>
  </si>
  <si>
    <t>IT87-J-R5</t>
  </si>
  <si>
    <t>P29-J-R11</t>
  </si>
  <si>
    <t>P29-J-R12</t>
  </si>
  <si>
    <t>P29-J-R13</t>
  </si>
  <si>
    <t>T73-J-R8</t>
  </si>
  <si>
    <t>T73-J-R9</t>
  </si>
  <si>
    <t>G12-J-R4</t>
  </si>
  <si>
    <t>G12-J-R5</t>
  </si>
  <si>
    <t>Prime de fin d'année Donald-Roméo</t>
  </si>
  <si>
    <t>CA-J-D2</t>
  </si>
  <si>
    <t>Cumul frais de trust building du mois de Janvier 2025/IT87</t>
  </si>
  <si>
    <t>Trust Building</t>
  </si>
  <si>
    <t>IT87-J-D2</t>
  </si>
  <si>
    <t>Cumul frais de trust building du mois de Janvier 2025/G12</t>
  </si>
  <si>
    <t>Trust building</t>
  </si>
  <si>
    <t>G12-J-D2</t>
  </si>
  <si>
    <t>Bonus du mois de Janvier 2025/Donald-Roméo</t>
  </si>
  <si>
    <t>CA-J-D3</t>
  </si>
  <si>
    <t>Bonus Opération du 15/01/2025 à Owando</t>
  </si>
  <si>
    <t>CA-J-D4</t>
  </si>
  <si>
    <t>Paiement retraite Coordinateur periode Octobre,Novembre et Decembre 2024</t>
  </si>
  <si>
    <t>CA-J-R33</t>
  </si>
  <si>
    <t>IT87-J-R6</t>
  </si>
  <si>
    <t>IT87-J-R7</t>
  </si>
  <si>
    <t>P29-J-R14</t>
  </si>
  <si>
    <t>P29-J-R15</t>
  </si>
  <si>
    <t>T73-J-R10</t>
  </si>
  <si>
    <t>T73-J-R11</t>
  </si>
  <si>
    <t>G12-J-R6</t>
  </si>
  <si>
    <t>G12-J-R7</t>
  </si>
  <si>
    <t>Achat carburant 100litre de Gazoil/Groupe electrogène PALF</t>
  </si>
  <si>
    <t>CA-J-R32</t>
  </si>
  <si>
    <t>Règlement prestation technicienne de surface (mois de Janvier 2025)</t>
  </si>
  <si>
    <t>CA-J-R34</t>
  </si>
  <si>
    <t>P29-J-R16</t>
  </si>
  <si>
    <t>P29-J-R17</t>
  </si>
  <si>
    <t>Cumul frais de trust building du mois de Janvier 2025/P29</t>
  </si>
  <si>
    <t>P29-J-D3</t>
  </si>
  <si>
    <t>T73-J-R12</t>
  </si>
  <si>
    <t>T73-J-R13</t>
  </si>
  <si>
    <t>Cumul frais de trust building du mois de Janvier 2025/T73</t>
  </si>
  <si>
    <t>T73-J-D3</t>
  </si>
  <si>
    <t>G12-J-R8</t>
  </si>
  <si>
    <t>G12-J-R9</t>
  </si>
  <si>
    <t>G12-J-R10</t>
  </si>
  <si>
    <t>IT87-J-R8</t>
  </si>
  <si>
    <t>IT87-J-R9</t>
  </si>
  <si>
    <t>Cumul frais de transport local du mois de Janvier 2025/IT87</t>
  </si>
  <si>
    <t>IT87-J-D3</t>
  </si>
  <si>
    <t>P29-J-R18</t>
  </si>
  <si>
    <t>P29-J-R19</t>
  </si>
  <si>
    <t>Cumul frais de transport local du mois de Janvier 2025/P29</t>
  </si>
  <si>
    <t>P29-J-D4</t>
  </si>
  <si>
    <t>T73-J-R14</t>
  </si>
  <si>
    <t>T73-J-R15</t>
  </si>
  <si>
    <t>Cumul frais de transport local du mois de Janvier 2025/T73</t>
  </si>
  <si>
    <t>T73-J-D4</t>
  </si>
  <si>
    <t>G12-J-R11</t>
  </si>
  <si>
    <t>Cumul frais de transport local du mois Janvier 2025/G12</t>
  </si>
  <si>
    <t>G12-J-D3</t>
  </si>
  <si>
    <t>Cumul frais de transport local du mois de Janvier 2025/Roderlin</t>
  </si>
  <si>
    <t>RO-J-D3</t>
  </si>
  <si>
    <t>Cumul frais de transport local du mois de Janvier 2025/EVARISTE</t>
  </si>
  <si>
    <t>EV-J-D2</t>
  </si>
  <si>
    <t>Bonus media portant sur le bilan des interpellation de 2023 et 2024</t>
  </si>
  <si>
    <t>CA-J-D5</t>
  </si>
  <si>
    <t>Cumul frais de transport local du mois de Janvier 2025/DOVI</t>
  </si>
  <si>
    <t>DH-J-D1</t>
  </si>
  <si>
    <t>Reglement loyer du mois de Janvier 2025/DOVI Coordinateur PALF</t>
  </si>
  <si>
    <t>personnel</t>
  </si>
  <si>
    <t>DH-J-R3</t>
  </si>
  <si>
    <t>Cumul frais de transport local du mois de Janvier 2025/Merveille</t>
  </si>
  <si>
    <t>ME-J-D1</t>
  </si>
  <si>
    <t>Ramassage Ordure/bureau PALF</t>
  </si>
  <si>
    <t>CA-J-R35</t>
  </si>
  <si>
    <t>Reglement facture internet perionde du 01/02 au 28/02/2025 bureau PALF</t>
  </si>
  <si>
    <t xml:space="preserve">Internet </t>
  </si>
  <si>
    <t>CA-J-R36</t>
  </si>
  <si>
    <t>Cumul frais de transport local du mois de Janvier 2025/LOUNDOU Jean Romain</t>
  </si>
  <si>
    <t>RM-J-D3</t>
  </si>
  <si>
    <t>Installation Pack office et activation et installation des pratiques logiques</t>
  </si>
  <si>
    <t>Website and software</t>
  </si>
  <si>
    <t>CA-J-R37</t>
  </si>
  <si>
    <t>Donald-Romeo</t>
  </si>
  <si>
    <t>Crepin</t>
  </si>
  <si>
    <t>Donors 2025</t>
  </si>
  <si>
    <t>Rufford</t>
  </si>
  <si>
    <t>Wildcat  2024</t>
  </si>
  <si>
    <t>Dovi</t>
  </si>
  <si>
    <t>I55S</t>
  </si>
  <si>
    <t>Investigations</t>
  </si>
  <si>
    <t>I73X</t>
  </si>
  <si>
    <t>COMPTA DOVI - Coordinateur</t>
  </si>
  <si>
    <t>Détails dépenses</t>
  </si>
  <si>
    <t>Types dépenses (Personnel, Bonus/ Lawyer Bonus, Travel Expenses, Travel subsistence, Office Materials,Rent &amp; Utilities, Services,Telephone, Internet,Bonus,Trust building, Bank charges,Transfer fees, Jail Visits, Editing Costs,Equipment, Publications, Cour</t>
  </si>
  <si>
    <t>Département (Investigations, Legal, Operations, Media, Management, CCU, EAGLE Family, Policy &amp; External relations)</t>
  </si>
  <si>
    <t>Montant reçu</t>
  </si>
  <si>
    <t>Montant dépensé</t>
  </si>
  <si>
    <t>Nom</t>
  </si>
  <si>
    <t>Reçu</t>
  </si>
  <si>
    <t>COMPTA Crepin - Assistant à la Coordination</t>
  </si>
  <si>
    <t>Reçu de caisse/Crepin</t>
  </si>
  <si>
    <t>Légal</t>
  </si>
  <si>
    <t>Opération</t>
  </si>
  <si>
    <t>Travel subsistence</t>
  </si>
  <si>
    <t>Retour caisse/Crepin</t>
  </si>
  <si>
    <t>COMPTA MERVEILLE-Comptable</t>
  </si>
  <si>
    <t>Reçu caisse/Merveille</t>
  </si>
  <si>
    <t>Reçu caisse/T73</t>
  </si>
  <si>
    <t>COMPTA G12(&gt;&gt;&gt;&gt;) - Consultante Enquêtrice</t>
  </si>
  <si>
    <t>Reçu de caisse/G12</t>
  </si>
  <si>
    <t>COMPTA Romain-Juriste</t>
  </si>
  <si>
    <t>Reçu Caisse/Romain</t>
  </si>
  <si>
    <t>COMPTA Abraham-Juriste</t>
  </si>
  <si>
    <t>Reçu caisse/Abraham</t>
  </si>
  <si>
    <t>COMPTA Roderlin-Juriste</t>
  </si>
  <si>
    <t>Reçu caisse/Roderlin</t>
  </si>
  <si>
    <t>legal</t>
  </si>
  <si>
    <t>Balalce</t>
  </si>
  <si>
    <t>COMPTA Evariste - Chargé Media</t>
  </si>
  <si>
    <t>Étiquettes de colonnes</t>
  </si>
  <si>
    <t>Étiquettes de lignes</t>
  </si>
  <si>
    <t>Total général</t>
  </si>
  <si>
    <t>(vide)</t>
  </si>
  <si>
    <t>Somme de Spent  in XAF</t>
  </si>
  <si>
    <t xml:space="preserve">Somme de Spent </t>
  </si>
  <si>
    <t>Type de Depenses</t>
  </si>
  <si>
    <t>Somme de Received</t>
  </si>
  <si>
    <t>returned to caisse</t>
  </si>
  <si>
    <t>Receved  $</t>
  </si>
  <si>
    <t>Somme de Spent in $</t>
  </si>
  <si>
    <t>Somme de Receved in XAF</t>
  </si>
  <si>
    <t>Somme de Receved  $</t>
  </si>
  <si>
    <t>Old closed grats</t>
  </si>
  <si>
    <t>Reglement facture d'hotel Eric ONA du 07 au 14/01/2025/(07 Nuitées)</t>
  </si>
  <si>
    <t>Merveille MAHANGA</t>
  </si>
  <si>
    <t>Homéfa DOVI ZENNAWOE</t>
  </si>
  <si>
    <r>
      <t>Balance as per the</t>
    </r>
    <r>
      <rPr>
        <b/>
        <sz val="10"/>
        <color rgb="FFFF0000"/>
        <rFont val="Aptos Narrow"/>
        <family val="2"/>
        <scheme val="minor"/>
      </rPr>
      <t xml:space="preserve"> accounting</t>
    </r>
  </si>
  <si>
    <t>Reglement loyer du mois de Décembre 2024/3654776</t>
  </si>
  <si>
    <t>Received in XAF</t>
  </si>
  <si>
    <t>Received in $</t>
  </si>
  <si>
    <t>Reglement Facture Gardiennage Mois de Décembre 2024/3654775</t>
  </si>
  <si>
    <t>Paiement Honoraire Me LOCKO/Mois de Décembre 2024/3654777</t>
  </si>
  <si>
    <t>Achat billet Owando-Brazzaville/Donald-Roméo</t>
  </si>
  <si>
    <t>Achat encre 216A et registre</t>
  </si>
  <si>
    <t>Report de solde du 01/02/2025</t>
  </si>
  <si>
    <t>BQ-F-R1</t>
  </si>
  <si>
    <t>Retrait espèces/3654786</t>
  </si>
  <si>
    <t>BQ-F-V1</t>
  </si>
  <si>
    <t>BQ-F-R2</t>
  </si>
  <si>
    <t>Solde honoraire contrat n°81 Owando cas Monick/ Maître BANZOUZI Alain/3654800</t>
  </si>
  <si>
    <t>BQ-F-R3</t>
  </si>
  <si>
    <t>Retrait espèces/3654801</t>
  </si>
  <si>
    <t>BQ-F-V2</t>
  </si>
  <si>
    <t>Reglement frais d'assurance multi risque/Bureau PALF</t>
  </si>
  <si>
    <t>BQ-F-R4</t>
  </si>
  <si>
    <t>Retrait espèces/3654802</t>
  </si>
  <si>
    <t>BQ-F-V3</t>
  </si>
  <si>
    <t>Reglement loyer du mois de Février 2025/3654804</t>
  </si>
  <si>
    <t>BQ-F-R5</t>
  </si>
  <si>
    <t>Retrait espèces/3654803</t>
  </si>
  <si>
    <t>BQ-F-V4</t>
  </si>
  <si>
    <t>FINANCIAL POSITION AT 01/02/2025</t>
  </si>
  <si>
    <t>01/02/2025 of the month Balance and advance</t>
  </si>
  <si>
    <t>28/02/2025 of the month  Balance and advance</t>
  </si>
  <si>
    <t>Solde au 01/02/2025</t>
  </si>
  <si>
    <t>Reçu de la caisse/Evariste</t>
  </si>
  <si>
    <t>EV-F-V1</t>
  </si>
  <si>
    <t>EV-F-V2</t>
  </si>
  <si>
    <t>Achat billet, Brazzaville-Owando/Evariste</t>
  </si>
  <si>
    <t>EV-F-R1</t>
  </si>
  <si>
    <t>EVARISTE - CONGO Ration du 15 au 28 février 2025, mission d'Owando (13 nuitées)</t>
  </si>
  <si>
    <t>EV-F-D1</t>
  </si>
  <si>
    <t>EV-F-V3</t>
  </si>
  <si>
    <t>EV-F-V4</t>
  </si>
  <si>
    <t>EV-F-D2</t>
  </si>
  <si>
    <t>EVARISTE - CONGO Frais de l'hôtel du 15 au 25 février 2025 à Owando (10 nuitées)</t>
  </si>
  <si>
    <t>EV-F-R2</t>
  </si>
  <si>
    <t>EV-F-V5</t>
  </si>
  <si>
    <t xml:space="preserve">EVARISTE - CONGO Frais de l'hôtel du 25 au 28 février 2025 (3 nuitées) </t>
  </si>
  <si>
    <t>EV-F-R3</t>
  </si>
  <si>
    <t>EV-F-R4</t>
  </si>
  <si>
    <t>Cumul frais de transport local du mois de Février 2025/Evariste</t>
  </si>
  <si>
    <t>EV-F-D3</t>
  </si>
  <si>
    <t>Bonus media portant sur l'audience du 06 Février au TG1 d'Owando</t>
  </si>
  <si>
    <t>CA-F-D1</t>
  </si>
  <si>
    <t>Bonus media portant sur la journée mondiale du Pangolin</t>
  </si>
  <si>
    <t>CA-F-D12</t>
  </si>
  <si>
    <t>Bonus media portant sur l'interpellation de deux présumé trafiquants le 24/02/2025 à Owando</t>
  </si>
  <si>
    <t>CA-F-D13</t>
  </si>
  <si>
    <t>CA-F-R11</t>
  </si>
  <si>
    <t>AB-F-V1</t>
  </si>
  <si>
    <t>Achat billet Brazzaville-Owando(Trans bony)/Abraham</t>
  </si>
  <si>
    <t>AB-F-R1</t>
  </si>
  <si>
    <t>Frais de mission maitre Marie Helène NANITELAMION du 12 au 14 Février 2025 à Owando suivi audience</t>
  </si>
  <si>
    <t>CA-F-R13</t>
  </si>
  <si>
    <t>ABRAHAM - CONGO food allowance du 12/02 au 01/03/2025 à Owando (02 Nuitées)</t>
  </si>
  <si>
    <t>AB-F-D1</t>
  </si>
  <si>
    <t>AB-F-V2</t>
  </si>
  <si>
    <t>ABRAHAM - CONGO frais d'Hôtel (Hôtel Case Mbali) du 12 au 15/02/2025 Owando (03Nuitées)</t>
  </si>
  <si>
    <t>AB-F-R2</t>
  </si>
  <si>
    <t>AB-F-V3</t>
  </si>
  <si>
    <t>ABRAHAM - CONGO frais d'Hôtel  du 15au 20/02/2025 Owando (05Nuitées)</t>
  </si>
  <si>
    <t>AB-F-R5</t>
  </si>
  <si>
    <t>AB-F-V4</t>
  </si>
  <si>
    <t>Rafraîchissement attente OP</t>
  </si>
  <si>
    <t>AB-F-R3</t>
  </si>
  <si>
    <t>AB-F-V5</t>
  </si>
  <si>
    <t>Achat médicaments du prévenu Dodo</t>
  </si>
  <si>
    <t>AB-F-R4</t>
  </si>
  <si>
    <t>Cumul frais de jail visits du mois de Février 2025/Abraham</t>
  </si>
  <si>
    <t>AB-F-D2</t>
  </si>
  <si>
    <t>CREPIN - CONGO Ration du 15/02/ au 05/03/2025 à Owando (18 nuitées)</t>
  </si>
  <si>
    <t>CR-F-D1</t>
  </si>
  <si>
    <t>CR-F-V2</t>
  </si>
  <si>
    <t>CR-F-V3</t>
  </si>
  <si>
    <t>Hébergement à l'hôtel Essebo d'Owando, 07 Nuitées du 15 au 22/02/2025</t>
  </si>
  <si>
    <t>CR-F-R2</t>
  </si>
  <si>
    <t>CR-F-V4</t>
  </si>
  <si>
    <t>CR-F-V5</t>
  </si>
  <si>
    <t>Plats et raffraichissements</t>
  </si>
  <si>
    <t>CR-F-R3</t>
  </si>
  <si>
    <t>01 bidon d'eau de 10 litres pour les OPJ sous instruction du Coordinateur</t>
  </si>
  <si>
    <t>CR-F-D2</t>
  </si>
  <si>
    <t>CR-F-V6</t>
  </si>
  <si>
    <t>Bonus pour 18 Gendarmes ayant participé à l'opération du 24/02/2025  à Owando</t>
  </si>
  <si>
    <t>CR-F-R4</t>
  </si>
  <si>
    <t>Bonus pour 02 EF ayant participé à l'opération du 24/02/2025  à Owando</t>
  </si>
  <si>
    <t>CR-F-R5</t>
  </si>
  <si>
    <t>CR-F-V7</t>
  </si>
  <si>
    <t>Cumul frais de transport local du mois de Février 2025/Crepin IBOUILI IBOUILI</t>
  </si>
  <si>
    <t>CR-F-D3</t>
  </si>
  <si>
    <t>CR-F-V8</t>
  </si>
  <si>
    <t>CR-F-V1</t>
  </si>
  <si>
    <t>CR-F-R1</t>
  </si>
  <si>
    <t>Solde au 1/02/2025</t>
  </si>
  <si>
    <t>Report au 01/2/2025</t>
  </si>
  <si>
    <t>Achat credit  teléphonique MTN/PALF/Première partie du mois de Février 2025/Management</t>
  </si>
  <si>
    <t>CA-F-R1</t>
  </si>
  <si>
    <t>Achat credit  teléphonique MTN/PALF/Première partie du mois de Février 2025/Legal</t>
  </si>
  <si>
    <t>CA-F-R2</t>
  </si>
  <si>
    <t>Achat credit  teléphonique MTN/PALF/Première partie du mois de Février 2025/Investigation</t>
  </si>
  <si>
    <t>CA-F-R3</t>
  </si>
  <si>
    <t>Achat credit  teléphonique MTN/PALF/Première partie du mois de Février 2025/Media</t>
  </si>
  <si>
    <t>CA-F-R4</t>
  </si>
  <si>
    <t>Achat credit  teléphonique Airtel/PALF/Première partie du mois de Février 2025/Legal</t>
  </si>
  <si>
    <t>CA-F-R5</t>
  </si>
  <si>
    <t>Achat credit  teléphonique Airtel/PALF/Première partie du mois de Février 2025/Investigation</t>
  </si>
  <si>
    <t>CA-F-R6</t>
  </si>
  <si>
    <t>Achat credit  teléphonique Airtel/PALF/Première partie du mois de Février 2025/Media</t>
  </si>
  <si>
    <t>CA-F-R7</t>
  </si>
  <si>
    <t>CA-F-V1</t>
  </si>
  <si>
    <t>CA-F-V2</t>
  </si>
  <si>
    <t>CA-F-V3</t>
  </si>
  <si>
    <t>CA-F-V4</t>
  </si>
  <si>
    <t>Frais de mission maitre Alain BANZOUZI du 05 au 07 Février 2025 à Owando suivi audience</t>
  </si>
  <si>
    <t>CA-F-R8</t>
  </si>
  <si>
    <t>BCI3654786</t>
  </si>
  <si>
    <t>CA-F-V5</t>
  </si>
  <si>
    <t>CA-F-V6</t>
  </si>
  <si>
    <t>Achat eau mineral 16 LITRES/Bureau</t>
  </si>
  <si>
    <t>CA-F-R9</t>
  </si>
  <si>
    <t>Achat produit d'entretien lait,sucre,javel,papier toilette,sucre,café/Bureau PALF</t>
  </si>
  <si>
    <t>CA-F-R10</t>
  </si>
  <si>
    <t>CA-F-V7</t>
  </si>
  <si>
    <t>CA-F-V8</t>
  </si>
  <si>
    <t>CA-F-V9</t>
  </si>
  <si>
    <t>CA-F-V10</t>
  </si>
  <si>
    <t>CA-F-V11</t>
  </si>
  <si>
    <t>Frais de transfert d'argent à G12</t>
  </si>
  <si>
    <t>CA-F-R12</t>
  </si>
  <si>
    <t>CA-F-V12</t>
  </si>
  <si>
    <t>CA-F-V13</t>
  </si>
  <si>
    <t>Frais de transfert d'argent à P29</t>
  </si>
  <si>
    <t>CA-F-R14</t>
  </si>
  <si>
    <t>Bonus du mois de Janvier 2025/Merveille</t>
  </si>
  <si>
    <t>CA-F-D2</t>
  </si>
  <si>
    <t>Bonus du mois de Janvier 2025/Crepin</t>
  </si>
  <si>
    <t>CA-F-D3</t>
  </si>
  <si>
    <t>Bonus du mois de Janvier 2025/Romain</t>
  </si>
  <si>
    <t>CA-F-D4</t>
  </si>
  <si>
    <t>Bonus du mois de Janvier 2025/Abraham</t>
  </si>
  <si>
    <t>CA-F-D5</t>
  </si>
  <si>
    <t>Bonus du mois de Janvier 2025/Roderlin</t>
  </si>
  <si>
    <t>CA-F-D6</t>
  </si>
  <si>
    <t>Bonus du mois de Janvier 2025/Evariste</t>
  </si>
  <si>
    <t>CA-F-D7</t>
  </si>
  <si>
    <t>Bonus opération du 15/01/2025 à Owando/Crepin</t>
  </si>
  <si>
    <t>CA-F-D8</t>
  </si>
  <si>
    <t>Bonus opération du 15/01/2025 à Owando/Romain</t>
  </si>
  <si>
    <t>CA-F-D9</t>
  </si>
  <si>
    <t>Bonus opération du 15/01/2025 à Owando/Abraham</t>
  </si>
  <si>
    <t>CA-F-D10</t>
  </si>
  <si>
    <t>Bonus opération du 15/01/2025 à Owando/Evariste</t>
  </si>
  <si>
    <t>CA-F-D11</t>
  </si>
  <si>
    <t>BCI3654801</t>
  </si>
  <si>
    <t>CA-F-V14</t>
  </si>
  <si>
    <t>CA-F-V15</t>
  </si>
  <si>
    <t>CA-F-R15</t>
  </si>
  <si>
    <t>CA-F-V16</t>
  </si>
  <si>
    <t>Frais de mission maitre Alain BANZOUZI du 13 au 15 Février 2025 à Sibiti/suivi audience</t>
  </si>
  <si>
    <t>CA-F-R16</t>
  </si>
  <si>
    <t>Paiment assurance DOVI</t>
  </si>
  <si>
    <t>CA-F-R17</t>
  </si>
  <si>
    <t>CA-F-R18</t>
  </si>
  <si>
    <t>CA-F-V17</t>
  </si>
  <si>
    <t>Parfaite</t>
  </si>
  <si>
    <t>CA-F-V18</t>
  </si>
  <si>
    <t>CA-F-V19</t>
  </si>
  <si>
    <t>Bonus à un informateur en RDC</t>
  </si>
  <si>
    <t>CA-F-V20</t>
  </si>
  <si>
    <t>CA-F-V21</t>
  </si>
  <si>
    <t>CA-F-V22</t>
  </si>
  <si>
    <t>CA-F-V23</t>
  </si>
  <si>
    <t>CA-F-V24</t>
  </si>
  <si>
    <t>CA-F-V25</t>
  </si>
  <si>
    <t>Frais de transfert d'argent à T73,P29 et Abraham</t>
  </si>
  <si>
    <t>CA-F-R19</t>
  </si>
  <si>
    <t>Achat credit  teléphonique MTN/PALF/Deuxième partie du mois de Février 2025/Management</t>
  </si>
  <si>
    <t>CA-F-R20</t>
  </si>
  <si>
    <t>Achat credit  teléphonique MTN/PALF/Deuxième partie du mois de Février 2025/Legal</t>
  </si>
  <si>
    <t>CA-F-R21</t>
  </si>
  <si>
    <t>Achat credit  teléphonique MTN/PALF/Deuxième partie du mois de Février 2025/Investigation</t>
  </si>
  <si>
    <t>CA-F-R22</t>
  </si>
  <si>
    <t>Achat credit  teléphonique MTN/PALF/Deuxième partie du mois de Février 2025/Media</t>
  </si>
  <si>
    <t>CA-F-R23</t>
  </si>
  <si>
    <t>CA-F-R24</t>
  </si>
  <si>
    <t>Achat credit  teléphonique Airtel/PALF/Deuxième partie du mois de Février 2025/Legal</t>
  </si>
  <si>
    <t>CA-F-R25</t>
  </si>
  <si>
    <t>CA-F-V26</t>
  </si>
  <si>
    <t>CA-F-V27</t>
  </si>
  <si>
    <t>CA-F-V28</t>
  </si>
  <si>
    <t>BCI3654802</t>
  </si>
  <si>
    <t>CA-F-V29</t>
  </si>
  <si>
    <t>Achat credit téléphonique pour P29/Appel trust à l'international</t>
  </si>
  <si>
    <t>CA-F-R26</t>
  </si>
  <si>
    <t>CA-F-V30</t>
  </si>
  <si>
    <t>Frais de transfert d'argent à Crepin</t>
  </si>
  <si>
    <t>CA-F-R27</t>
  </si>
  <si>
    <t>Frais de mission maitre BANZOUZI à Owando du 19 au 21/02/205 suivi audience cas MONICK</t>
  </si>
  <si>
    <t>CA-F-R28</t>
  </si>
  <si>
    <t>CA-F-V31</t>
  </si>
  <si>
    <t>CA-F-V32</t>
  </si>
  <si>
    <t>CA-F-V33</t>
  </si>
  <si>
    <t>CA-F-V34</t>
  </si>
  <si>
    <t>CA-F-V35</t>
  </si>
  <si>
    <t>CA-F-V36</t>
  </si>
  <si>
    <t>CA-F-V37</t>
  </si>
  <si>
    <t>CA-F-R29</t>
  </si>
  <si>
    <t>Frais de transfert bonus à informateur</t>
  </si>
  <si>
    <t>CA-F-R30</t>
  </si>
  <si>
    <t>Frais de transfert d'argent à Abraham</t>
  </si>
  <si>
    <t>CA-F-R31</t>
  </si>
  <si>
    <t>Frais de transfert d'argent</t>
  </si>
  <si>
    <t>CA-F-R32</t>
  </si>
  <si>
    <t>CA-F-V38</t>
  </si>
  <si>
    <t>CA-F-V39</t>
  </si>
  <si>
    <t>CA-F-V40</t>
  </si>
  <si>
    <t>CA-F-V41</t>
  </si>
  <si>
    <t>CA-F-V42</t>
  </si>
  <si>
    <t>CA-F-V43</t>
  </si>
  <si>
    <t>CA-F-V44</t>
  </si>
  <si>
    <t>CA-F-R43</t>
  </si>
  <si>
    <t>DOVI/Retour caisse</t>
  </si>
  <si>
    <t>CA-F-V45</t>
  </si>
  <si>
    <t>CA-F-V46</t>
  </si>
  <si>
    <t>Crepin/Retour caisse</t>
  </si>
  <si>
    <t>CA-F-V47</t>
  </si>
  <si>
    <t>CA-F-V48</t>
  </si>
  <si>
    <t>CA-F-V49</t>
  </si>
  <si>
    <t>CA-F-V50</t>
  </si>
  <si>
    <t>Frais de transfert charden farell à Abraham</t>
  </si>
  <si>
    <t>CA-F-R33</t>
  </si>
  <si>
    <t>Achat credit téléphonique pour le coordinateur</t>
  </si>
  <si>
    <t>CA-F-R34</t>
  </si>
  <si>
    <t>T73/retour caisse</t>
  </si>
  <si>
    <t>CA-F-V51</t>
  </si>
  <si>
    <t>CA-F-V52</t>
  </si>
  <si>
    <t>CA-F-V53</t>
  </si>
  <si>
    <t>CA-F-V54</t>
  </si>
  <si>
    <t>BCI3654803</t>
  </si>
  <si>
    <t>CA-F-V55</t>
  </si>
  <si>
    <t>CA-F-V56</t>
  </si>
  <si>
    <t>CA-F-V57</t>
  </si>
  <si>
    <t>CA-F-V58</t>
  </si>
  <si>
    <t>CA-F-V59</t>
  </si>
  <si>
    <t>CA-F-R44</t>
  </si>
  <si>
    <t>Frais de mission à Owando de maitre Alain du 27/02 au 04/03/2025</t>
  </si>
  <si>
    <t>CA-F-R35</t>
  </si>
  <si>
    <t xml:space="preserve">DOVI </t>
  </si>
  <si>
    <t>CA-F-V60</t>
  </si>
  <si>
    <t>CA-F-V61</t>
  </si>
  <si>
    <t>Reglement prestation de nettoyage jardin PALF du mois de Février 2025</t>
  </si>
  <si>
    <t>CA-F-R36</t>
  </si>
  <si>
    <t>Frais de transfert d'argent à IT87</t>
  </si>
  <si>
    <t>CA-F-R37</t>
  </si>
  <si>
    <t>Ramassage ordure du mois Février 2025/Bureau PALF</t>
  </si>
  <si>
    <t>CA-F-R38</t>
  </si>
  <si>
    <t>CA-F-V62</t>
  </si>
  <si>
    <t>CA-F-V63</t>
  </si>
  <si>
    <t>Frais de transfert d'argent à Romain</t>
  </si>
  <si>
    <t>CA-F-R45</t>
  </si>
  <si>
    <t>Reglement facture internet periode du 01/03 au 31/03/2025 bureau PALF</t>
  </si>
  <si>
    <t>Internet</t>
  </si>
  <si>
    <t>CA-F-R39</t>
  </si>
  <si>
    <t>Règlement prestation technicienne de surface (mois de Février 2025)</t>
  </si>
  <si>
    <t>CA-F-R40</t>
  </si>
  <si>
    <t>Achat fourniture de bureau/Classeurs,stylo,intercalaire,rame papier,surligneur,chemise cartonnée</t>
  </si>
  <si>
    <t>CA-F-R41</t>
  </si>
  <si>
    <t>Frais de carte de travail Parfaite</t>
  </si>
  <si>
    <t>CA-F-R42</t>
  </si>
  <si>
    <t>Février</t>
  </si>
  <si>
    <t>Reçu caisse/DOVI</t>
  </si>
  <si>
    <t>DH-F-V1</t>
  </si>
  <si>
    <t>DH-F-R1</t>
  </si>
  <si>
    <t>Frais de transfert d'argent par western union à l'informateur</t>
  </si>
  <si>
    <t>DH-F-R2</t>
  </si>
  <si>
    <t>Reçu caisse/Frais de mission/Dovi</t>
  </si>
  <si>
    <t>DH-F-V2</t>
  </si>
  <si>
    <t>Achat billet Brazzaville-Owando</t>
  </si>
  <si>
    <t>DH-F-R3</t>
  </si>
  <si>
    <t>DOVI -CONGO Ration du 15 Février 2025 au 25 Février 2025 soit 10 nuitées</t>
  </si>
  <si>
    <t>DH-F-D1</t>
  </si>
  <si>
    <t>Reçu caisse/Complément frais de mission/Dovi</t>
  </si>
  <si>
    <t>DH-F-V3</t>
  </si>
  <si>
    <t>DH-F-V4</t>
  </si>
  <si>
    <t>Retour caisse/DOVI</t>
  </si>
  <si>
    <t>DH-F-V5</t>
  </si>
  <si>
    <t>DH-F-V6</t>
  </si>
  <si>
    <t>Achat billet Owando -Brazzaville/DOVI</t>
  </si>
  <si>
    <t>DH-F-R4</t>
  </si>
  <si>
    <t>DOVI-CONGO Frais d'hôtel du 15 Février 2025 au 25 Février 2025 soit 10 nuitées à Owando(Hôtel Savouret)</t>
  </si>
  <si>
    <t>DH-F-R5</t>
  </si>
  <si>
    <t>DH-F-V7</t>
  </si>
  <si>
    <t>Cumul frais de transport local du mois de Février 2025/DOVI</t>
  </si>
  <si>
    <t>DH-F-D2</t>
  </si>
  <si>
    <t>ME-F-V1</t>
  </si>
  <si>
    <t>Cumul frais de transport local du mois de Février 2025/Merveille</t>
  </si>
  <si>
    <t>ME-F-D1</t>
  </si>
  <si>
    <t>COMPTA PARFAITE-Comptable</t>
  </si>
  <si>
    <t>Reçu caisse/Parfaite</t>
  </si>
  <si>
    <t>P-F-V1</t>
  </si>
  <si>
    <t>Cumul frais de transport local du mois de Février 2025/Parfaite</t>
  </si>
  <si>
    <t>P-F-D1</t>
  </si>
  <si>
    <t>Reçu de caisse/P29</t>
  </si>
  <si>
    <t>P29-F-V1</t>
  </si>
  <si>
    <t>P29-F-R1</t>
  </si>
  <si>
    <t>P29-F-D1</t>
  </si>
  <si>
    <t>P29-F-V2</t>
  </si>
  <si>
    <t>P29-F-R2</t>
  </si>
  <si>
    <t>P29-F-R3</t>
  </si>
  <si>
    <t>P29-F-R4</t>
  </si>
  <si>
    <t>P29-F-R5</t>
  </si>
  <si>
    <t>Cumul frais de trust building du mois de Février 2025/P29</t>
  </si>
  <si>
    <t>P29-F-D2</t>
  </si>
  <si>
    <t>P29-F-R6</t>
  </si>
  <si>
    <t>Achat billet ombele-owando/P29</t>
  </si>
  <si>
    <t>P29-F-R7</t>
  </si>
  <si>
    <t>P29-F-V3</t>
  </si>
  <si>
    <t>P29-F-V4</t>
  </si>
  <si>
    <t>P29-F-V5</t>
  </si>
  <si>
    <t>P29-F-V6</t>
  </si>
  <si>
    <t>P29-F-V7</t>
  </si>
  <si>
    <t>P29-F-R8</t>
  </si>
  <si>
    <t>P29-F-R9</t>
  </si>
  <si>
    <t>P29-F-R10</t>
  </si>
  <si>
    <t>P29-F-R11</t>
  </si>
  <si>
    <t>P29-F-V8</t>
  </si>
  <si>
    <t>P29-F-R12</t>
  </si>
  <si>
    <t>P29-F-R13</t>
  </si>
  <si>
    <t>P29-F-R14</t>
  </si>
  <si>
    <t>P29-F-R15</t>
  </si>
  <si>
    <t>Cumul frais de transport local du mois de Février 2025/P29</t>
  </si>
  <si>
    <t>P29-F-D3</t>
  </si>
  <si>
    <t>T73-F-V1</t>
  </si>
  <si>
    <t>T73-F-R1</t>
  </si>
  <si>
    <t>T73-F-D1</t>
  </si>
  <si>
    <t>T73-F-V2</t>
  </si>
  <si>
    <t>T73-F-R2</t>
  </si>
  <si>
    <t>T73-F-R4</t>
  </si>
  <si>
    <t>Reçu de caisse/T73</t>
  </si>
  <si>
    <t>T73-F-V3</t>
  </si>
  <si>
    <t>T73-F-V4</t>
  </si>
  <si>
    <t>T73-F-V5</t>
  </si>
  <si>
    <t>T73-F-V6</t>
  </si>
  <si>
    <t>T73-F-V7</t>
  </si>
  <si>
    <t>T73-F-R5</t>
  </si>
  <si>
    <t>Cumul frais de trust building du mois de Février 2025/T73</t>
  </si>
  <si>
    <t>T73-F-D2</t>
  </si>
  <si>
    <t>Retour caisse/T73</t>
  </si>
  <si>
    <t>T73-F-V8</t>
  </si>
  <si>
    <t>T73-F-R6</t>
  </si>
  <si>
    <t>T73-F-R7</t>
  </si>
  <si>
    <t>Cumul frais de transport local du mois de Février 2025/T73</t>
  </si>
  <si>
    <t>T73-F-D3</t>
  </si>
  <si>
    <t>G12-F-V1</t>
  </si>
  <si>
    <t>G12-F-R1</t>
  </si>
  <si>
    <t>G12 - CONGO  Food Allowance du 08 au 15 /02/2025(07 Nuitées)</t>
  </si>
  <si>
    <t>G12-F-D1</t>
  </si>
  <si>
    <t>Achat billet: Loudima - sibiti/G12</t>
  </si>
  <si>
    <t>G12-F-R2</t>
  </si>
  <si>
    <t>G12-F-V2</t>
  </si>
  <si>
    <t>G12-F-R3</t>
  </si>
  <si>
    <t>G12-F-R4</t>
  </si>
  <si>
    <t>G12-F-R5</t>
  </si>
  <si>
    <t>G12-F-R6</t>
  </si>
  <si>
    <t>G12-F-R7</t>
  </si>
  <si>
    <t>Cumul frais de trust building du mois de Février 2025/G12</t>
  </si>
  <si>
    <t>G12-F-D2</t>
  </si>
  <si>
    <t>G12-F-R8</t>
  </si>
  <si>
    <t>G12 CONGO frais d'hotel du 13 au 15 /02/2025(02 Nuitées)</t>
  </si>
  <si>
    <t>G12-F-R9</t>
  </si>
  <si>
    <t>Cumul frais de transport local du mois Février 2025/G12</t>
  </si>
  <si>
    <t>G12-F-D3</t>
  </si>
  <si>
    <t>Achat  Billet  Brazzaville-Owando/Romain</t>
  </si>
  <si>
    <t>RM-F-R1</t>
  </si>
  <si>
    <t>ROMAIN-CONGO: Ration du 05 au 07/02/2025 à Owando</t>
  </si>
  <si>
    <t>RM-F-D1</t>
  </si>
  <si>
    <t>Achat billet retour Owando-Brazzaville/Romain</t>
  </si>
  <si>
    <t>RM-F-R2</t>
  </si>
  <si>
    <t>ROMAIN - CONGO Frais d'hotel du 05 au 07/02/2025 à Owando(2 nuitées)</t>
  </si>
  <si>
    <t>RM-F-R3</t>
  </si>
  <si>
    <t>Achat Billet Brazzaville-Owando/Romain</t>
  </si>
  <si>
    <t>RM-F-R4</t>
  </si>
  <si>
    <t>ROMAIN - CONGO Ration du 15/02/ au 04/03/2025 à Owando(14 Nuitées)</t>
  </si>
  <si>
    <t>RM-F-D2</t>
  </si>
  <si>
    <t>RM-F-R5</t>
  </si>
  <si>
    <t>Carburant BJ Opération</t>
  </si>
  <si>
    <t>RM-F-R6</t>
  </si>
  <si>
    <t>ROMAIN - CONGO - Frais d'hôtel du 15 au 25/02/2025 à Owando(10 Nuitées)</t>
  </si>
  <si>
    <t>RM-F-R8</t>
  </si>
  <si>
    <t>Impréssion de la procédure de la Gendarmerie</t>
  </si>
  <si>
    <t>RM-F-R7</t>
  </si>
  <si>
    <t>Cumul frais de transport local du mois de Février 2025/Romain</t>
  </si>
  <si>
    <t>RM-F-D3</t>
  </si>
  <si>
    <t>Solde  au 1/02/2025</t>
  </si>
  <si>
    <t>RM-F-V1</t>
  </si>
  <si>
    <t>RM-F-V2</t>
  </si>
  <si>
    <t>RM-F-V3</t>
  </si>
  <si>
    <t>RM-F-V4</t>
  </si>
  <si>
    <t>RM-F-V5</t>
  </si>
  <si>
    <t>RM-F-V6</t>
  </si>
  <si>
    <t>Solde  au 01/02/2025</t>
  </si>
  <si>
    <t>RO-F-V2</t>
  </si>
  <si>
    <t>Achat billet Brazzaville- Loudima/Roderlin</t>
  </si>
  <si>
    <t>RO-F-R4</t>
  </si>
  <si>
    <t>RODERLIN-CONGO Ration du 13 au 15/02/2025 à Sibiti (02 nuitées)</t>
  </si>
  <si>
    <t>RO-F-D2</t>
  </si>
  <si>
    <t>Achat billet Loudima - Sibiti/Roderlin</t>
  </si>
  <si>
    <t>RO-F-R6</t>
  </si>
  <si>
    <t>Cumul frais de jail visits du mois de Février 2025/Roderlin</t>
  </si>
  <si>
    <t>RO-F-D3</t>
  </si>
  <si>
    <t>RODERLIN-CONGO frais d'hôtel du 13 au 15/02/2025 à Sibiti (02 nuitées)</t>
  </si>
  <si>
    <t>RO-F-R5</t>
  </si>
  <si>
    <t>Taxi: Sibiti-Loudima /Roderlin</t>
  </si>
  <si>
    <t>RO-F-R7</t>
  </si>
  <si>
    <t>Achat billet Loudima-Brazzaville /Roderlin</t>
  </si>
  <si>
    <t>RO-F-R8</t>
  </si>
  <si>
    <t>Cumul frais de transport local du mois de Février 2025/Roderlin</t>
  </si>
  <si>
    <t>RO-F-D4</t>
  </si>
  <si>
    <t>RO-F-V1</t>
  </si>
  <si>
    <t xml:space="preserve"> Achat billet Brazzaville- Owando/Roderlin</t>
  </si>
  <si>
    <t>RO-F-R1</t>
  </si>
  <si>
    <t>RODERLIN-CONGO Ration du 05 au 07/02/2025 à Owando (02 nuitées)</t>
  </si>
  <si>
    <t>RO-F-D1</t>
  </si>
  <si>
    <t>Achat billet Owando- Brazzaville /Roderlin</t>
  </si>
  <si>
    <t>RO-F-R2</t>
  </si>
  <si>
    <t>RODERLIN-CONGO frais d'hôtel du 05 au 07/02/2025 à Owando (02 nuitées)</t>
  </si>
  <si>
    <t>RO-F-R3</t>
  </si>
  <si>
    <t>COMPTA Donald-Roméo - Juriste(Congé)</t>
  </si>
  <si>
    <t>Reçu de caisse/ IT87</t>
  </si>
  <si>
    <t>IT87-F-V1</t>
  </si>
  <si>
    <t>IT87-F-D1</t>
  </si>
  <si>
    <t>IT87-F-R1</t>
  </si>
  <si>
    <t>IT87-F-V2</t>
  </si>
  <si>
    <t>IT87-F-R2</t>
  </si>
  <si>
    <t>IT87-F-R3</t>
  </si>
  <si>
    <t>IT87-F-R4</t>
  </si>
  <si>
    <t>Achat billet Otende - Oyo/ IT87</t>
  </si>
  <si>
    <t>IT87-F-R5</t>
  </si>
  <si>
    <t>IT87-F-R6</t>
  </si>
  <si>
    <t>IT87-F-V3</t>
  </si>
  <si>
    <t>IT87-F-D2</t>
  </si>
  <si>
    <t>IT87-F-R7</t>
  </si>
  <si>
    <t>IT87-F-R8</t>
  </si>
  <si>
    <t>IT87-F-R9</t>
  </si>
  <si>
    <t>IT87-F-R10</t>
  </si>
  <si>
    <t>IT87-F-R11</t>
  </si>
  <si>
    <t>IT87-F-R12</t>
  </si>
  <si>
    <t>IT87-F-R13</t>
  </si>
  <si>
    <t>IT87-F-V4</t>
  </si>
  <si>
    <t>IT87-F-V5</t>
  </si>
  <si>
    <t>IT87-F-R14</t>
  </si>
  <si>
    <t>IT87-F-D3</t>
  </si>
  <si>
    <t>IT87-F-V6</t>
  </si>
  <si>
    <t>Cumul frais de Trust building du mois de Février 2025/IT87</t>
  </si>
  <si>
    <t>IT87-F-D4</t>
  </si>
  <si>
    <t>IT87-F-R15</t>
  </si>
  <si>
    <t>IT87-F-R16</t>
  </si>
  <si>
    <t>Cumul frais de Transport local du mois de Février 2025/IT87</t>
  </si>
  <si>
    <t>IT87-F-D5</t>
  </si>
  <si>
    <t>Cumul frais de transport local du mois de Février 2025/Abraham</t>
  </si>
  <si>
    <t>AB-F-D3</t>
  </si>
  <si>
    <t>CREPIN - CONGO Hébergement à l'hôtel Essebo d'Owando, 07 Nuitées du 15 au 22/02/2025</t>
  </si>
  <si>
    <t>FINANCIAL POSITION AT 28/02/2025</t>
  </si>
  <si>
    <t>Achat billet Brazzaville-Owando/DOVI</t>
  </si>
  <si>
    <t>G12 - CONGO  Ration du 08 au 15 /02/2025(07 Nuitées)</t>
  </si>
  <si>
    <t>Paiment assurance DOVI/Assistance Evacuation</t>
  </si>
  <si>
    <t>Achat credit  teléphonique Airtel/PALF/Deuxième partie du mois de Février 2025/Investigation</t>
  </si>
  <si>
    <t>Frais de transfert d'argent à P29 et IT87</t>
  </si>
  <si>
    <t>Fonds envoyé à un informateur en RDC pour des informations</t>
  </si>
  <si>
    <t>Fonds envoyé à un informateur  en RDC pour des informations</t>
  </si>
  <si>
    <t>Paiment assurance DOVI/Individuelle Accidents Corporels</t>
  </si>
  <si>
    <t>Frais de transfert charden farell à Abraham (pour le compte de DOVI et Crépin)</t>
  </si>
  <si>
    <t>févr</t>
  </si>
  <si>
    <t>janv</t>
  </si>
  <si>
    <t>Departement</t>
  </si>
  <si>
    <t>P29 - CONGO Ration  du 05 au 28/02/2025</t>
  </si>
  <si>
    <t xml:space="preserve">IT87 - CONGO Ration du 05 au 12/02/2025 </t>
  </si>
  <si>
    <t xml:space="preserve">Achat billet </t>
  </si>
  <si>
    <t>Achat billet /G12</t>
  </si>
  <si>
    <t xml:space="preserve">G12-CONGO  frais d'hotel du 11 au 13 /02 / 2025 </t>
  </si>
  <si>
    <t>G12 CONGO frais d'hotel du 13 au 15 /02/2025 (02 Nuitées)</t>
  </si>
  <si>
    <t>G12 Congo frais d'hotel du 08 au 11/02/2025  (3 nuitées)</t>
  </si>
  <si>
    <t>Achat billet / IT87</t>
  </si>
  <si>
    <t xml:space="preserve">IT87 - CONGO Ration du 15 au 22/02/2025 </t>
  </si>
  <si>
    <t>IT87 - CONGO Frais d'hôtel du 15 au 18/02/2025 (03 nuitées)</t>
  </si>
  <si>
    <t>IT87 - CONGO Frais d'hôtel du 18 au 20/02/2025  (02 nuitées)</t>
  </si>
  <si>
    <t>IT87 - CONGO Frais d'hôtel du 20 au 22/02/2025 (02 nuitées)</t>
  </si>
  <si>
    <t xml:space="preserve">IT87 - CONGO Ration  du 26 au 28/02/2025 </t>
  </si>
  <si>
    <t>IT87 - CONGO Frais d'hôtel  du 26 au 28/02/2025 à Loutété (02 nuitées)</t>
  </si>
  <si>
    <t>IT87 - CONGO Frais d'hôtel du 09 au 12/02/2025  (03 nuitées)</t>
  </si>
  <si>
    <t>IT87 - CONGOFrais d'hôtel du 07 au 09/02/2025 (02 nuitées)</t>
  </si>
  <si>
    <t>IT87 - CONGO Frais d'hotel du 05 au 07/02/2025 (02 nuitées)</t>
  </si>
  <si>
    <t>IT87 - CONGO Ration du 15 au 22/02/2025 (07 Nuitées)</t>
  </si>
  <si>
    <t>IT87 - CONGO Ration  du 26 au 28/02/2025 (02 Nuitées)</t>
  </si>
  <si>
    <t>IT87 - CONGO Ration du 05 au 12/02/2025 (07nuitées)</t>
  </si>
  <si>
    <t>Achat billet /P29</t>
  </si>
  <si>
    <t>P29 - CONGO Frais d'hotel du 05 au 07/02/2025 (02 Nuitées)</t>
  </si>
  <si>
    <t>P29 -CONGO Frais d'hotel du 07 au 09/02/2025 (02 Nuitées)</t>
  </si>
  <si>
    <t>P29 - CONGO Frais d'hotel du 09 au 10/02/2025  (01 Nuitée)</t>
  </si>
  <si>
    <t>P29 - CONGO Frais hotel du 10 au 24/02/2025 /(14 Nuitées)</t>
  </si>
  <si>
    <t>P29 - CONGO Frais d'hotel du 24 au 28/02/2025  (04 Nuitées)</t>
  </si>
  <si>
    <t>T73 - CONGO Ration du 06 au 28/12/2024 (22nuitées)</t>
  </si>
  <si>
    <t xml:space="preserve">T73 - CONGO Frais d'hotel du 06 au 10/02/2025 (04nuitées ) </t>
  </si>
  <si>
    <t xml:space="preserve">T73 - CONGO Frais d'hotel du 10 au 22/02/2025 (12 nuitées ) </t>
  </si>
  <si>
    <t>T73 - CONGO Frais d'hotel du 24 au 28/02/2025 (04 nuitées )</t>
  </si>
  <si>
    <t>Achat billet : /T73</t>
  </si>
  <si>
    <t>Achat billet :  /T73</t>
  </si>
  <si>
    <t>Location véhicule /P29</t>
  </si>
  <si>
    <t>Locaation vehicule 1 /P29</t>
  </si>
  <si>
    <t>Locaation vehicule 2  /P29</t>
  </si>
  <si>
    <t>P29 - CONGO Frais de Location  du 22 au 25/02/2025/03 Nuitées</t>
  </si>
  <si>
    <t>P29 - CONGO Frais de location d'appartement du 22 au 25/02/2025  /03 Nuitées</t>
  </si>
  <si>
    <t xml:space="preserve">achat billet: </t>
  </si>
  <si>
    <t xml:space="preserve">Location véhicule </t>
  </si>
  <si>
    <t>Achat billet</t>
  </si>
  <si>
    <t xml:space="preserve">Achat billet : </t>
  </si>
  <si>
    <t>P29 - CONGO Frais d'hotel du 09 au 13/01/2025  (4 Nuitées)</t>
  </si>
  <si>
    <t>T73- CONGO Frais d'hotel du 07 au 15/01/2025 (08nuitées )</t>
  </si>
  <si>
    <t>P29 - Frais d'hotel du 13 au 17/01/2025  (pour P29)/04 Nuitées</t>
  </si>
  <si>
    <t>P29 - Frais d'hotel du 13 au 17/01/2025  /04 Nuitées</t>
  </si>
  <si>
    <t>P29 - CONGO Frais d'hotel du 15 au 17/01/2025  ( 02 Nuitées)</t>
  </si>
  <si>
    <t>T73 - CONGO Frais d'hotel du 15 au 17/01/2025 (02nuitées )</t>
  </si>
  <si>
    <t>P29 - CONGO Frais d'hotel du 22 au 24/01/2025  (02 Nuitées)</t>
  </si>
  <si>
    <t xml:space="preserve">T73 - CONGO Frais d'hotel du 22 au 24/01/2025 (02nuitées ) </t>
  </si>
  <si>
    <t xml:space="preserve"> G12 - CONGO frais d'hotel du 22au 24 /01/2025 ( 2 nuitées)</t>
  </si>
  <si>
    <t>IT87 - CONGO Frais d'hôtel  du 22 au 26/01/2025  (04 nuitées)</t>
  </si>
  <si>
    <t>P29 - CONGO Frais d'hotel du 24 au 26/01/2025 ( 02 Nuitées)</t>
  </si>
  <si>
    <t xml:space="preserve">T73 - CONGO Frais d'hotel du 24 au 26/01/2025 (02nuitées ) </t>
  </si>
  <si>
    <t>IT87 - CONGO Frais d'hôtel du 26 au 28/01/2025  (02 Nuitées)</t>
  </si>
  <si>
    <t>P29 - CONGO Frais d'hotel du 26 au 28/01/2025 (02 Nuitées)</t>
  </si>
  <si>
    <t xml:space="preserve">T73 - CONGO Frais d'hotel du 26 au 28/01/2025 (02nuitées ) </t>
  </si>
  <si>
    <t>G12 - CONGO frais d'hotel du 26 au 28 /01/2025  (2nuitées)</t>
  </si>
  <si>
    <t>P29 - CONGO Frais d'hotel du 28 au 29/01/2025 / 01 Nuitée</t>
  </si>
  <si>
    <t>G12-CONGO frais d'hotel du 28 au 29 /01/2025 ( 1 nuitée)</t>
  </si>
  <si>
    <t>G12 - CONGO frais d'hotel du 29 au 30 /01/2025 ( 1 nuitée)</t>
  </si>
  <si>
    <t>IT87 - CONGO Frais d'hôte du 28 au 30/01/2025  (02 Nuitées)</t>
  </si>
  <si>
    <t xml:space="preserve">T73 - CONGO Frais d'hotel du 28 au 29/01/2025 (01nuitée ) </t>
  </si>
  <si>
    <t>P29 - CONGO Frais d'hotel du 29 au 30/01/2025  (01 Nuitée)</t>
  </si>
  <si>
    <t xml:space="preserve">T73 - CONGO Frais d'hotel du 29 au 30/01/2025 (01nuitées ) </t>
  </si>
  <si>
    <t>G12 -CONGO Frais d'hotel du 24 au 26/01/2025 (2nuitées)</t>
  </si>
  <si>
    <t>P29 - CONGO Foodallowance mission du 09 au 17/01/2025  (08 Nuitées)</t>
  </si>
  <si>
    <t xml:space="preserve">T73 - CONGO Food Allowance du 07 au 17/01/2025 (10 nuitées) </t>
  </si>
  <si>
    <t>IT87 - CONGO Food Allowance mission du 22 au 30/01/2025 /(08 Nuitées)</t>
  </si>
  <si>
    <t>P29 - CONGO Foodallowance mission du 22 au 30/01/2025  (08 Nuitées)</t>
  </si>
  <si>
    <t xml:space="preserve">T73 - CONGO Food Allowance du 22 au 30/01/2025 (08nuitées) </t>
  </si>
  <si>
    <t>G12 Congo frais d'hotel du 08 au 11/02/2025 (3 nuitées)</t>
  </si>
  <si>
    <t>Achat billet  /G12</t>
  </si>
  <si>
    <t>Achat billet  / G12</t>
  </si>
  <si>
    <t>G12-CONGO  frais d'hotel du 11 au 13 /02 / 2025  (2nuitées)</t>
  </si>
  <si>
    <t>Achat billet/G12</t>
  </si>
  <si>
    <t>Achat billet :/G12</t>
  </si>
  <si>
    <t>IT87 - CONGO Frais d'hôtel Clair Matin du 26 au 28/02/2025 (02 nuitées)</t>
  </si>
  <si>
    <t>IT87 - CONGO Frais d'hôtel  du 20 au 22/02/2025 à  (02 nuitées)</t>
  </si>
  <si>
    <t>IT87 - CONGO Frais d'hôtel  du 18 au 20/02/2025 (02 nuitées)</t>
  </si>
  <si>
    <t>IT87 - CONGO Frais d'hôtel du 15 au 18/02/2025  (03 nuitées)</t>
  </si>
  <si>
    <t>IT87 - CONGO Frais d'hôtel  du 05 au 07/02/2025 (02 nuitées)</t>
  </si>
  <si>
    <t xml:space="preserve">T73 - CONGO Frais d'hotel du 06 au 10/02/2025 (04nuitées ) à </t>
  </si>
  <si>
    <t>Achat billet :/T73</t>
  </si>
  <si>
    <t xml:space="preserve">COMPTA T73 - Consultant Enquêteur </t>
  </si>
  <si>
    <t>P29 - CONGO Frais d'hotel du 22 au 25/02/2025 /03 Nuitées)</t>
  </si>
  <si>
    <t>Achat billet billet/P29</t>
  </si>
  <si>
    <t>P29 - CONGO Frais d'hotel du 22 au 25/02/2025 /03 Nuitées</t>
  </si>
  <si>
    <t xml:space="preserve">Locaation vehicule 2  </t>
  </si>
  <si>
    <t>Locaation Vehicule 1</t>
  </si>
  <si>
    <t>Frais d'hotel du 09 au 10/02/2025</t>
  </si>
  <si>
    <t>P29 - CONGO Ration  du 05 au 28/02/2025 (23 Nuitées)</t>
  </si>
  <si>
    <t xml:space="preserve">COMPTA P29  - Consultant Enquêteur </t>
  </si>
  <si>
    <t xml:space="preserve">COMPTA IT87  - Consultant Enquêteur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</si>
</sst>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_ ;[Red]\-#,##0.00\ "/>
    <numFmt numFmtId="167" formatCode="#,##0.0000"/>
    <numFmt numFmtId="168" formatCode="_-* #,##0\ _€_-;\-* #,##0\ _€_-;_-* &quot;-&quot;??\ _€_-;_-@_-"/>
    <numFmt numFmtId="169" formatCode="#,##0.00;[Red]#,##0.00"/>
    <numFmt numFmtId="170" formatCode="[$-409]mmmmm;@"/>
    <numFmt numFmtId="171" formatCode="[$-40C]d\-mmm;@"/>
    <numFmt numFmtId="172" formatCode="_-* #,##0\ _€_-;\-* #,##0\ _€_-;_-* &quot;-&quot;??\ _€_-;_-@"/>
    <numFmt numFmtId="173" formatCode="d\-mmm\-yy;@"/>
    <numFmt numFmtId="174" formatCode="0.000"/>
    <numFmt numFmtId="175" formatCode="[$-40C]d\-mmm\-yy;@"/>
    <numFmt numFmtId="176" formatCode="#,##0_ ;[Red]\-#,##0\ "/>
    <numFmt numFmtId="177" formatCode="[$-40C]General"/>
    <numFmt numFmtId="178" formatCode="[$-409]d\-mmm\-yy;@"/>
    <numFmt numFmtId="179" formatCode="[$-40C]0"/>
    <numFmt numFmtId="180" formatCode="&quot; &quot;#,##0&quot;    &quot;;&quot;-&quot;#,##0&quot;    &quot;;&quot; -&quot;#&quot;    &quot;;&quot; &quot;@&quot; &quot;"/>
    <numFmt numFmtId="181" formatCode="0.0000"/>
  </numFmts>
  <fonts count="84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</font>
    <font>
      <b/>
      <sz val="10"/>
      <name val="Calibri"/>
      <family val="2"/>
    </font>
    <font>
      <b/>
      <sz val="10"/>
      <name val="Calibri"/>
      <family val="2"/>
      <charset val="238"/>
    </font>
    <font>
      <sz val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238"/>
    </font>
    <font>
      <b/>
      <sz val="10"/>
      <color indexed="8"/>
      <name val="Calibri"/>
      <family val="2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1"/>
      <name val="Aptos Narrow"/>
      <family val="2"/>
      <charset val="238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</font>
    <font>
      <sz val="8"/>
      <color theme="1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0"/>
      <color rgb="FFFF0000"/>
      <name val="Calibri"/>
      <family val="2"/>
    </font>
    <font>
      <b/>
      <sz val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i/>
      <sz val="10"/>
      <color indexed="10"/>
      <name val="Aptos Narrow"/>
      <family val="2"/>
      <scheme val="minor"/>
    </font>
    <font>
      <b/>
      <i/>
      <sz val="10"/>
      <name val="Aptos Narrow"/>
      <family val="2"/>
      <scheme val="minor"/>
    </font>
    <font>
      <i/>
      <sz val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3" tint="-0.499984740745262"/>
      <name val="Aptos Narrow"/>
      <family val="2"/>
      <scheme val="minor"/>
    </font>
    <font>
      <sz val="10"/>
      <color theme="3" tint="-0.499984740745262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sz val="10"/>
      <name val="Times New Roman"/>
      <family val="1"/>
      <charset val="238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color indexed="8"/>
      <name val="Calibri"/>
      <family val="2"/>
    </font>
    <font>
      <sz val="9"/>
      <color indexed="8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1"/>
      <color rgb="FF000000"/>
      <name val="Calibri"/>
      <family val="2"/>
    </font>
    <font>
      <sz val="12"/>
      <color theme="1"/>
      <name val="Arial Narrow"/>
      <family val="2"/>
      <charset val="238"/>
    </font>
    <font>
      <sz val="12"/>
      <color rgb="FF000000"/>
      <name val="Arial Narrow"/>
      <family val="2"/>
    </font>
    <font>
      <sz val="10"/>
      <color rgb="FF000000"/>
      <name val="Times New Roman"/>
      <family val="1"/>
    </font>
    <font>
      <sz val="10"/>
      <color rgb="FF000000"/>
      <name val="Arial Narrow"/>
      <family val="2"/>
    </font>
    <font>
      <sz val="12"/>
      <name val="Arial Narrow"/>
      <family val="2"/>
      <charset val="238"/>
    </font>
    <font>
      <b/>
      <sz val="12"/>
      <color rgb="FFFF0000"/>
      <name val="Arial Narrow"/>
      <family val="2"/>
    </font>
    <font>
      <sz val="12"/>
      <color theme="1"/>
      <name val="Arial Narrow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name val="Arial Narrow"/>
      <family val="2"/>
      <charset val="238"/>
    </font>
    <font>
      <sz val="11"/>
      <color theme="1"/>
      <name val="Times New Roman"/>
      <family val="1"/>
    </font>
    <font>
      <sz val="12"/>
      <color rgb="FF000000"/>
      <name val="Calibri"/>
      <family val="2"/>
    </font>
    <font>
      <sz val="12"/>
      <color rgb="FFFF0000"/>
      <name val="Arial Narrow"/>
      <family val="2"/>
    </font>
    <font>
      <b/>
      <sz val="12"/>
      <color theme="1"/>
      <name val="Arial Narrow"/>
      <family val="2"/>
    </font>
    <font>
      <sz val="11"/>
      <color rgb="FF000000"/>
      <name val="Times New Roman"/>
      <family val="1"/>
    </font>
    <font>
      <sz val="11"/>
      <color theme="1" tint="0.34998626667073579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EF4"/>
        <bgColor rgb="FFDBEEF4"/>
      </patternFill>
    </fill>
    <fill>
      <patternFill patternType="solid">
        <fgColor rgb="FFFFFFFF"/>
        <bgColor rgb="FFFFFFFF"/>
      </patternFill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7" fillId="0" borderId="0"/>
    <xf numFmtId="0" fontId="47" fillId="0" borderId="0"/>
    <xf numFmtId="178" fontId="58" fillId="0" borderId="0" applyBorder="0" applyProtection="0"/>
    <xf numFmtId="165" fontId="70" fillId="0" borderId="0">
      <protection locked="0"/>
    </xf>
    <xf numFmtId="165" fontId="3" fillId="0" borderId="0" applyFont="0" applyFill="0" applyBorder="0" applyAlignment="0" applyProtection="0"/>
    <xf numFmtId="0" fontId="7" fillId="0" borderId="0"/>
    <xf numFmtId="165" fontId="55" fillId="0" borderId="0" applyFont="0" applyFill="0" applyBorder="0" applyAlignment="0" applyProtection="0"/>
  </cellStyleXfs>
  <cellXfs count="411">
    <xf numFmtId="0" fontId="0" fillId="0" borderId="0" xfId="0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7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166" fontId="9" fillId="3" borderId="1" xfId="2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166" fontId="10" fillId="0" borderId="1" xfId="1" applyNumberFormat="1" applyFont="1" applyBorder="1"/>
    <xf numFmtId="166" fontId="11" fillId="0" borderId="1" xfId="0" applyNumberFormat="1" applyFont="1" applyBorder="1" applyAlignment="1">
      <alignment vertical="top" wrapText="1"/>
    </xf>
    <xf numFmtId="166" fontId="12" fillId="0" borderId="1" xfId="1" applyNumberFormat="1" applyFont="1" applyBorder="1"/>
    <xf numFmtId="166" fontId="12" fillId="0" borderId="2" xfId="1" applyNumberFormat="1" applyFont="1" applyBorder="1"/>
    <xf numFmtId="166" fontId="9" fillId="3" borderId="1" xfId="1" applyNumberFormat="1" applyFont="1" applyFill="1" applyBorder="1"/>
    <xf numFmtId="166" fontId="8" fillId="0" borderId="1" xfId="1" applyNumberFormat="1" applyFont="1" applyBorder="1"/>
    <xf numFmtId="166" fontId="13" fillId="0" borderId="1" xfId="0" applyNumberFormat="1" applyFont="1" applyBorder="1" applyAlignment="1">
      <alignment vertical="top" wrapText="1"/>
    </xf>
    <xf numFmtId="14" fontId="14" fillId="4" borderId="1" xfId="0" applyNumberFormat="1" applyFont="1" applyFill="1" applyBorder="1"/>
    <xf numFmtId="166" fontId="15" fillId="4" borderId="1" xfId="1" applyNumberFormat="1" applyFont="1" applyFill="1" applyBorder="1"/>
    <xf numFmtId="166" fontId="16" fillId="4" borderId="1" xfId="0" applyNumberFormat="1" applyFont="1" applyFill="1" applyBorder="1"/>
    <xf numFmtId="166" fontId="9" fillId="4" borderId="1" xfId="1" applyNumberFormat="1" applyFont="1" applyFill="1" applyBorder="1"/>
    <xf numFmtId="14" fontId="11" fillId="0" borderId="1" xfId="0" applyNumberFormat="1" applyFont="1" applyBorder="1"/>
    <xf numFmtId="166" fontId="11" fillId="0" borderId="1" xfId="0" applyNumberFormat="1" applyFont="1" applyBorder="1"/>
    <xf numFmtId="166" fontId="10" fillId="0" borderId="1" xfId="1" applyNumberFormat="1" applyFont="1" applyBorder="1" applyAlignment="1">
      <alignment horizontal="center"/>
    </xf>
    <xf numFmtId="166" fontId="17" fillId="0" borderId="1" xfId="1" applyNumberFormat="1" applyFont="1" applyBorder="1"/>
    <xf numFmtId="166" fontId="11" fillId="0" borderId="2" xfId="0" applyNumberFormat="1" applyFont="1" applyBorder="1"/>
    <xf numFmtId="0" fontId="18" fillId="0" borderId="1" xfId="0" applyFont="1" applyBorder="1"/>
    <xf numFmtId="166" fontId="18" fillId="0" borderId="1" xfId="0" applyNumberFormat="1" applyFont="1" applyBorder="1"/>
    <xf numFmtId="166" fontId="18" fillId="0" borderId="1" xfId="1" applyNumberFormat="1" applyFont="1" applyBorder="1"/>
    <xf numFmtId="166" fontId="18" fillId="5" borderId="1" xfId="1" applyNumberFormat="1" applyFont="1" applyFill="1" applyBorder="1"/>
    <xf numFmtId="166" fontId="18" fillId="0" borderId="2" xfId="1" applyNumberFormat="1" applyFont="1" applyBorder="1"/>
    <xf numFmtId="0" fontId="20" fillId="0" borderId="3" xfId="0" applyFont="1" applyBorder="1"/>
    <xf numFmtId="166" fontId="21" fillId="0" borderId="3" xfId="0" applyNumberFormat="1" applyFont="1" applyBorder="1"/>
    <xf numFmtId="166" fontId="22" fillId="0" borderId="3" xfId="0" applyNumberFormat="1" applyFont="1" applyBorder="1"/>
    <xf numFmtId="166" fontId="21" fillId="5" borderId="3" xfId="0" applyNumberFormat="1" applyFont="1" applyFill="1" applyBorder="1"/>
    <xf numFmtId="166" fontId="21" fillId="0" borderId="5" xfId="0" applyNumberFormat="1" applyFont="1" applyBorder="1"/>
    <xf numFmtId="166" fontId="23" fillId="3" borderId="1" xfId="1" applyNumberFormat="1" applyFont="1" applyFill="1" applyBorder="1"/>
    <xf numFmtId="0" fontId="19" fillId="0" borderId="3" xfId="0" applyFont="1" applyBorder="1"/>
    <xf numFmtId="166" fontId="13" fillId="0" borderId="3" xfId="0" applyNumberFormat="1" applyFont="1" applyBorder="1"/>
    <xf numFmtId="166" fontId="13" fillId="0" borderId="5" xfId="0" applyNumberFormat="1" applyFont="1" applyBorder="1"/>
    <xf numFmtId="0" fontId="19" fillId="7" borderId="6" xfId="0" applyFont="1" applyFill="1" applyBorder="1"/>
    <xf numFmtId="166" fontId="13" fillId="7" borderId="7" xfId="0" applyNumberFormat="1" applyFont="1" applyFill="1" applyBorder="1"/>
    <xf numFmtId="166" fontId="13" fillId="7" borderId="8" xfId="0" applyNumberFormat="1" applyFont="1" applyFill="1" applyBorder="1"/>
    <xf numFmtId="166" fontId="9" fillId="7" borderId="1" xfId="1" applyNumberFormat="1" applyFont="1" applyFill="1" applyBorder="1"/>
    <xf numFmtId="0" fontId="11" fillId="0" borderId="9" xfId="0" applyFont="1" applyBorder="1"/>
    <xf numFmtId="166" fontId="11" fillId="0" borderId="9" xfId="0" applyNumberFormat="1" applyFont="1" applyBorder="1"/>
    <xf numFmtId="166" fontId="11" fillId="0" borderId="10" xfId="0" applyNumberFormat="1" applyFont="1" applyBorder="1"/>
    <xf numFmtId="0" fontId="19" fillId="0" borderId="1" xfId="0" applyFont="1" applyBorder="1"/>
    <xf numFmtId="166" fontId="19" fillId="0" borderId="1" xfId="0" applyNumberFormat="1" applyFont="1" applyBorder="1"/>
    <xf numFmtId="166" fontId="13" fillId="0" borderId="1" xfId="0" applyNumberFormat="1" applyFont="1" applyBorder="1"/>
    <xf numFmtId="166" fontId="19" fillId="0" borderId="1" xfId="1" applyNumberFormat="1" applyFont="1" applyBorder="1"/>
    <xf numFmtId="166" fontId="19" fillId="0" borderId="2" xfId="1" applyNumberFormat="1" applyFont="1" applyBorder="1"/>
    <xf numFmtId="0" fontId="11" fillId="0" borderId="0" xfId="0" applyFont="1"/>
    <xf numFmtId="166" fontId="11" fillId="0" borderId="0" xfId="0" applyNumberFormat="1" applyFont="1"/>
    <xf numFmtId="0" fontId="16" fillId="0" borderId="4" xfId="0" applyFont="1" applyBorder="1"/>
    <xf numFmtId="0" fontId="24" fillId="8" borderId="11" xfId="0" applyFont="1" applyFill="1" applyBorder="1"/>
    <xf numFmtId="166" fontId="24" fillId="8" borderId="12" xfId="0" applyNumberFormat="1" applyFont="1" applyFill="1" applyBorder="1"/>
    <xf numFmtId="166" fontId="24" fillId="8" borderId="13" xfId="0" applyNumberFormat="1" applyFont="1" applyFill="1" applyBorder="1"/>
    <xf numFmtId="166" fontId="24" fillId="8" borderId="14" xfId="0" applyNumberFormat="1" applyFont="1" applyFill="1" applyBorder="1"/>
    <xf numFmtId="0" fontId="25" fillId="3" borderId="15" xfId="0" applyFont="1" applyFill="1" applyBorder="1"/>
    <xf numFmtId="0" fontId="25" fillId="8" borderId="16" xfId="0" applyFont="1" applyFill="1" applyBorder="1" applyAlignment="1">
      <alignment wrapText="1"/>
    </xf>
    <xf numFmtId="166" fontId="24" fillId="8" borderId="17" xfId="0" applyNumberFormat="1" applyFont="1" applyFill="1" applyBorder="1" applyAlignment="1">
      <alignment wrapText="1"/>
    </xf>
    <xf numFmtId="166" fontId="24" fillId="8" borderId="1" xfId="0" applyNumberFormat="1" applyFont="1" applyFill="1" applyBorder="1" applyAlignment="1">
      <alignment wrapText="1"/>
    </xf>
    <xf numFmtId="0" fontId="25" fillId="3" borderId="18" xfId="0" applyFont="1" applyFill="1" applyBorder="1" applyAlignment="1">
      <alignment wrapText="1"/>
    </xf>
    <xf numFmtId="0" fontId="24" fillId="9" borderId="19" xfId="0" applyFont="1" applyFill="1" applyBorder="1" applyAlignment="1">
      <alignment wrapText="1"/>
    </xf>
    <xf numFmtId="166" fontId="24" fillId="9" borderId="20" xfId="0" applyNumberFormat="1" applyFont="1" applyFill="1" applyBorder="1"/>
    <xf numFmtId="166" fontId="24" fillId="9" borderId="21" xfId="0" applyNumberFormat="1" applyFont="1" applyFill="1" applyBorder="1"/>
    <xf numFmtId="4" fontId="26" fillId="9" borderId="22" xfId="0" applyNumberFormat="1" applyFont="1" applyFill="1" applyBorder="1" applyAlignment="1">
      <alignment horizontal="center" vertical="center"/>
    </xf>
    <xf numFmtId="166" fontId="25" fillId="3" borderId="23" xfId="0" applyNumberFormat="1" applyFont="1" applyFill="1" applyBorder="1"/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0" fillId="0" borderId="0" xfId="0" applyNumberFormat="1"/>
    <xf numFmtId="3" fontId="6" fillId="2" borderId="1" xfId="0" applyNumberFormat="1" applyFont="1" applyFill="1" applyBorder="1" applyAlignment="1">
      <alignment vertical="center" wrapText="1"/>
    </xf>
    <xf numFmtId="3" fontId="0" fillId="0" borderId="0" xfId="0" applyNumberFormat="1"/>
    <xf numFmtId="4" fontId="6" fillId="2" borderId="1" xfId="0" applyNumberFormat="1" applyFont="1" applyFill="1" applyBorder="1" applyAlignment="1">
      <alignment horizontal="right" vertical="center" wrapText="1"/>
    </xf>
    <xf numFmtId="14" fontId="6" fillId="10" borderId="1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0" fillId="0" borderId="1" xfId="0" applyBorder="1"/>
    <xf numFmtId="166" fontId="13" fillId="2" borderId="1" xfId="0" applyNumberFormat="1" applyFont="1" applyFill="1" applyBorder="1" applyAlignment="1">
      <alignment vertical="top" wrapText="1"/>
    </xf>
    <xf numFmtId="166" fontId="8" fillId="2" borderId="1" xfId="1" applyNumberFormat="1" applyFont="1" applyFill="1" applyBorder="1"/>
    <xf numFmtId="14" fontId="8" fillId="2" borderId="1" xfId="2" applyNumberFormat="1" applyFont="1" applyFill="1" applyBorder="1" applyAlignment="1">
      <alignment horizontal="center" vertical="center"/>
    </xf>
    <xf numFmtId="166" fontId="8" fillId="2" borderId="1" xfId="2" applyNumberFormat="1" applyFont="1" applyFill="1" applyBorder="1" applyAlignment="1">
      <alignment horizontal="center" vertical="center" wrapText="1"/>
    </xf>
    <xf numFmtId="166" fontId="8" fillId="2" borderId="1" xfId="2" applyNumberFormat="1" applyFont="1" applyFill="1" applyBorder="1" applyAlignment="1">
      <alignment horizontal="center" vertical="center"/>
    </xf>
    <xf numFmtId="166" fontId="8" fillId="2" borderId="2" xfId="2" applyNumberFormat="1" applyFont="1" applyFill="1" applyBorder="1" applyAlignment="1">
      <alignment horizontal="center" vertical="center" wrapText="1"/>
    </xf>
    <xf numFmtId="0" fontId="19" fillId="4" borderId="1" xfId="0" applyFont="1" applyFill="1" applyBorder="1"/>
    <xf numFmtId="166" fontId="13" fillId="4" borderId="1" xfId="0" applyNumberFormat="1" applyFont="1" applyFill="1" applyBorder="1"/>
    <xf numFmtId="166" fontId="13" fillId="4" borderId="2" xfId="0" applyNumberFormat="1" applyFont="1" applyFill="1" applyBorder="1"/>
    <xf numFmtId="3" fontId="6" fillId="10" borderId="1" xfId="0" applyNumberFormat="1" applyFont="1" applyFill="1" applyBorder="1" applyAlignment="1">
      <alignment vertical="center" wrapText="1"/>
    </xf>
    <xf numFmtId="3" fontId="6" fillId="10" borderId="1" xfId="0" applyNumberFormat="1" applyFont="1" applyFill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17" fontId="29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29" fillId="0" borderId="22" xfId="0" applyFont="1" applyBorder="1" applyAlignment="1">
      <alignment vertical="center"/>
    </xf>
    <xf numFmtId="0" fontId="32" fillId="11" borderId="6" xfId="0" applyFont="1" applyFill="1" applyBorder="1" applyAlignment="1">
      <alignment vertical="center"/>
    </xf>
    <xf numFmtId="0" fontId="32" fillId="11" borderId="7" xfId="0" applyFont="1" applyFill="1" applyBorder="1" applyAlignment="1">
      <alignment vertical="center"/>
    </xf>
    <xf numFmtId="0" fontId="32" fillId="11" borderId="8" xfId="0" applyFont="1" applyFill="1" applyBorder="1" applyAlignment="1">
      <alignment vertical="center"/>
    </xf>
    <xf numFmtId="0" fontId="32" fillId="11" borderId="27" xfId="0" applyFont="1" applyFill="1" applyBorder="1" applyAlignment="1">
      <alignment vertical="center"/>
    </xf>
    <xf numFmtId="0" fontId="31" fillId="11" borderId="28" xfId="0" applyFont="1" applyFill="1" applyBorder="1" applyAlignment="1">
      <alignment horizontal="center" vertical="center"/>
    </xf>
    <xf numFmtId="0" fontId="31" fillId="11" borderId="9" xfId="0" applyFont="1" applyFill="1" applyBorder="1" applyAlignment="1">
      <alignment horizontal="center" vertical="center"/>
    </xf>
    <xf numFmtId="0" fontId="31" fillId="11" borderId="10" xfId="0" applyFont="1" applyFill="1" applyBorder="1" applyAlignment="1">
      <alignment horizontal="center" vertical="center"/>
    </xf>
    <xf numFmtId="0" fontId="31" fillId="11" borderId="11" xfId="0" applyFont="1" applyFill="1" applyBorder="1" applyAlignment="1">
      <alignment horizontal="center" vertical="center"/>
    </xf>
    <xf numFmtId="0" fontId="31" fillId="11" borderId="29" xfId="0" applyFont="1" applyFill="1" applyBorder="1" applyAlignment="1">
      <alignment horizontal="center" vertical="center"/>
    </xf>
    <xf numFmtId="14" fontId="26" fillId="0" borderId="17" xfId="0" applyNumberFormat="1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3" fontId="26" fillId="0" borderId="16" xfId="0" applyNumberFormat="1" applyFont="1" applyBorder="1" applyAlignment="1">
      <alignment vertical="center"/>
    </xf>
    <xf numFmtId="0" fontId="26" fillId="0" borderId="30" xfId="0" applyFont="1" applyBorder="1" applyAlignment="1">
      <alignment vertical="center"/>
    </xf>
    <xf numFmtId="14" fontId="29" fillId="6" borderId="6" xfId="0" applyNumberFormat="1" applyFont="1" applyFill="1" applyBorder="1" applyAlignment="1">
      <alignment horizontal="left" vertical="center"/>
    </xf>
    <xf numFmtId="0" fontId="30" fillId="6" borderId="7" xfId="0" applyFont="1" applyFill="1" applyBorder="1" applyAlignment="1">
      <alignment vertical="center"/>
    </xf>
    <xf numFmtId="0" fontId="29" fillId="6" borderId="7" xfId="0" applyFont="1" applyFill="1" applyBorder="1" applyAlignment="1">
      <alignment vertical="center"/>
    </xf>
    <xf numFmtId="3" fontId="29" fillId="6" borderId="7" xfId="0" applyNumberFormat="1" applyFont="1" applyFill="1" applyBorder="1" applyAlignment="1">
      <alignment vertical="center"/>
    </xf>
    <xf numFmtId="0" fontId="30" fillId="6" borderId="34" xfId="0" applyFont="1" applyFill="1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0" borderId="36" xfId="0" applyFont="1" applyBorder="1" applyAlignment="1">
      <alignment vertical="center"/>
    </xf>
    <xf numFmtId="3" fontId="30" fillId="0" borderId="37" xfId="0" applyNumberFormat="1" applyFont="1" applyBorder="1" applyAlignment="1">
      <alignment vertical="center"/>
    </xf>
    <xf numFmtId="3" fontId="30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6" fillId="0" borderId="0" xfId="0" applyFont="1"/>
    <xf numFmtId="0" fontId="36" fillId="0" borderId="0" xfId="0" applyFont="1"/>
    <xf numFmtId="166" fontId="26" fillId="0" borderId="0" xfId="0" applyNumberFormat="1" applyFont="1"/>
    <xf numFmtId="17" fontId="36" fillId="0" borderId="0" xfId="0" applyNumberFormat="1" applyFont="1" applyAlignment="1">
      <alignment horizontal="center"/>
    </xf>
    <xf numFmtId="0" fontId="38" fillId="0" borderId="40" xfId="0" applyFont="1" applyBorder="1" applyAlignment="1">
      <alignment vertical="center"/>
    </xf>
    <xf numFmtId="14" fontId="26" fillId="0" borderId="0" xfId="0" applyNumberFormat="1" applyFont="1"/>
    <xf numFmtId="0" fontId="30" fillId="0" borderId="40" xfId="0" applyFont="1" applyBorder="1" applyAlignment="1">
      <alignment vertical="center"/>
    </xf>
    <xf numFmtId="0" fontId="38" fillId="0" borderId="44" xfId="0" applyFont="1" applyBorder="1" applyAlignment="1">
      <alignment vertical="center"/>
    </xf>
    <xf numFmtId="166" fontId="28" fillId="0" borderId="0" xfId="0" applyNumberFormat="1" applyFont="1"/>
    <xf numFmtId="0" fontId="26" fillId="0" borderId="46" xfId="0" applyFont="1" applyBorder="1"/>
    <xf numFmtId="0" fontId="26" fillId="0" borderId="27" xfId="0" applyFont="1" applyBorder="1"/>
    <xf numFmtId="0" fontId="28" fillId="0" borderId="47" xfId="0" applyFont="1" applyBorder="1"/>
    <xf numFmtId="166" fontId="28" fillId="0" borderId="27" xfId="0" applyNumberFormat="1" applyFont="1" applyBorder="1"/>
    <xf numFmtId="166" fontId="28" fillId="0" borderId="31" xfId="0" applyNumberFormat="1" applyFont="1" applyBorder="1"/>
    <xf numFmtId="0" fontId="26" fillId="0" borderId="11" xfId="0" applyFont="1" applyBorder="1"/>
    <xf numFmtId="0" fontId="26" fillId="0" borderId="48" xfId="0" applyFont="1" applyBorder="1"/>
    <xf numFmtId="0" fontId="26" fillId="0" borderId="49" xfId="0" applyFont="1" applyBorder="1"/>
    <xf numFmtId="166" fontId="26" fillId="0" borderId="29" xfId="0" applyNumberFormat="1" applyFont="1" applyBorder="1"/>
    <xf numFmtId="166" fontId="26" fillId="0" borderId="31" xfId="0" applyNumberFormat="1" applyFont="1" applyBorder="1"/>
    <xf numFmtId="0" fontId="26" fillId="0" borderId="16" xfId="0" applyFont="1" applyBorder="1"/>
    <xf numFmtId="0" fontId="26" fillId="0" borderId="30" xfId="0" applyFont="1" applyBorder="1"/>
    <xf numFmtId="0" fontId="28" fillId="0" borderId="50" xfId="0" applyFont="1" applyBorder="1"/>
    <xf numFmtId="0" fontId="26" fillId="0" borderId="50" xfId="0" applyFont="1" applyBorder="1"/>
    <xf numFmtId="166" fontId="26" fillId="0" borderId="30" xfId="0" applyNumberFormat="1" applyFont="1" applyBorder="1"/>
    <xf numFmtId="14" fontId="26" fillId="0" borderId="16" xfId="0" applyNumberFormat="1" applyFont="1" applyBorder="1"/>
    <xf numFmtId="14" fontId="26" fillId="0" borderId="32" xfId="0" applyNumberFormat="1" applyFont="1" applyBorder="1"/>
    <xf numFmtId="0" fontId="26" fillId="0" borderId="41" xfId="0" applyFont="1" applyBorder="1"/>
    <xf numFmtId="166" fontId="26" fillId="0" borderId="51" xfId="0" applyNumberFormat="1" applyFont="1" applyBorder="1"/>
    <xf numFmtId="14" fontId="26" fillId="0" borderId="19" xfId="0" applyNumberFormat="1" applyFont="1" applyBorder="1"/>
    <xf numFmtId="0" fontId="26" fillId="0" borderId="33" xfId="0" applyFont="1" applyBorder="1"/>
    <xf numFmtId="166" fontId="26" fillId="0" borderId="33" xfId="0" applyNumberFormat="1" applyFont="1" applyBorder="1"/>
    <xf numFmtId="14" fontId="28" fillId="0" borderId="6" xfId="0" applyNumberFormat="1" applyFont="1" applyBorder="1"/>
    <xf numFmtId="0" fontId="28" fillId="0" borderId="7" xfId="0" applyFont="1" applyBorder="1"/>
    <xf numFmtId="0" fontId="28" fillId="0" borderId="8" xfId="0" applyFont="1" applyBorder="1"/>
    <xf numFmtId="166" fontId="28" fillId="0" borderId="46" xfId="0" applyNumberFormat="1" applyFont="1" applyBorder="1"/>
    <xf numFmtId="169" fontId="28" fillId="0" borderId="1" xfId="0" applyNumberFormat="1" applyFont="1" applyBorder="1"/>
    <xf numFmtId="166" fontId="28" fillId="0" borderId="1" xfId="0" applyNumberFormat="1" applyFont="1" applyBorder="1" applyAlignment="1">
      <alignment horizontal="right" wrapText="1"/>
    </xf>
    <xf numFmtId="166" fontId="26" fillId="0" borderId="1" xfId="0" applyNumberFormat="1" applyFont="1" applyBorder="1"/>
    <xf numFmtId="0" fontId="28" fillId="0" borderId="46" xfId="0" applyFont="1" applyBorder="1"/>
    <xf numFmtId="166" fontId="26" fillId="0" borderId="27" xfId="0" applyNumberFormat="1" applyFont="1" applyBorder="1"/>
    <xf numFmtId="0" fontId="26" fillId="0" borderId="30" xfId="0" applyFont="1" applyBorder="1" applyAlignment="1">
      <alignment horizontal="center"/>
    </xf>
    <xf numFmtId="0" fontId="26" fillId="0" borderId="51" xfId="0" applyFont="1" applyBorder="1" applyAlignment="1">
      <alignment horizontal="center"/>
    </xf>
    <xf numFmtId="0" fontId="40" fillId="0" borderId="0" xfId="0" applyFont="1"/>
    <xf numFmtId="0" fontId="40" fillId="0" borderId="1" xfId="0" applyFont="1" applyBorder="1"/>
    <xf numFmtId="4" fontId="0" fillId="0" borderId="1" xfId="0" applyNumberFormat="1" applyBorder="1"/>
    <xf numFmtId="0" fontId="5" fillId="0" borderId="1" xfId="0" applyFont="1" applyBorder="1"/>
    <xf numFmtId="4" fontId="40" fillId="0" borderId="1" xfId="0" applyNumberFormat="1" applyFont="1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/>
    <xf numFmtId="0" fontId="0" fillId="10" borderId="1" xfId="0" applyFill="1" applyBorder="1"/>
    <xf numFmtId="170" fontId="41" fillId="12" borderId="1" xfId="0" applyNumberFormat="1" applyFont="1" applyFill="1" applyBorder="1" applyAlignment="1">
      <alignment horizontal="center" vertical="center" wrapText="1"/>
    </xf>
    <xf numFmtId="166" fontId="41" fillId="12" borderId="1" xfId="0" applyNumberFormat="1" applyFont="1" applyFill="1" applyBorder="1" applyAlignment="1">
      <alignment horizontal="center" vertical="center" wrapText="1"/>
    </xf>
    <xf numFmtId="49" fontId="42" fillId="13" borderId="1" xfId="0" applyNumberFormat="1" applyFont="1" applyFill="1" applyBorder="1" applyAlignment="1">
      <alignment vertical="top" wrapText="1"/>
    </xf>
    <xf numFmtId="166" fontId="42" fillId="13" borderId="1" xfId="0" applyNumberFormat="1" applyFont="1" applyFill="1" applyBorder="1" applyAlignment="1">
      <alignment vertical="top" wrapText="1"/>
    </xf>
    <xf numFmtId="166" fontId="42" fillId="13" borderId="1" xfId="0" applyNumberFormat="1" applyFont="1" applyFill="1" applyBorder="1" applyAlignment="1">
      <alignment vertical="center" wrapText="1"/>
    </xf>
    <xf numFmtId="166" fontId="42" fillId="13" borderId="1" xfId="1" applyNumberFormat="1" applyFont="1" applyFill="1" applyBorder="1" applyAlignment="1">
      <alignment vertical="top" wrapText="1"/>
    </xf>
    <xf numFmtId="0" fontId="43" fillId="0" borderId="1" xfId="0" applyFont="1" applyBorder="1" applyAlignment="1">
      <alignment vertical="top" wrapText="1"/>
    </xf>
    <xf numFmtId="166" fontId="43" fillId="0" borderId="1" xfId="0" applyNumberFormat="1" applyFont="1" applyBorder="1" applyAlignment="1">
      <alignment vertical="top" wrapText="1"/>
    </xf>
    <xf numFmtId="166" fontId="43" fillId="0" borderId="1" xfId="1" applyNumberFormat="1" applyFont="1" applyBorder="1" applyAlignment="1">
      <alignment vertical="top" wrapText="1"/>
    </xf>
    <xf numFmtId="17" fontId="43" fillId="0" borderId="1" xfId="0" applyNumberFormat="1" applyFont="1" applyBorder="1" applyAlignment="1">
      <alignment vertical="top" wrapText="1"/>
    </xf>
    <xf numFmtId="166" fontId="42" fillId="0" borderId="1" xfId="0" applyNumberFormat="1" applyFont="1" applyBorder="1" applyAlignment="1">
      <alignment vertical="top" wrapText="1"/>
    </xf>
    <xf numFmtId="166" fontId="42" fillId="0" borderId="1" xfId="0" applyNumberFormat="1" applyFont="1" applyBorder="1" applyAlignment="1">
      <alignment vertical="center" wrapText="1"/>
    </xf>
    <xf numFmtId="166" fontId="42" fillId="0" borderId="1" xfId="1" applyNumberFormat="1" applyFont="1" applyFill="1" applyBorder="1" applyAlignment="1">
      <alignment vertical="top" wrapText="1"/>
    </xf>
    <xf numFmtId="166" fontId="44" fillId="0" borderId="1" xfId="0" applyNumberFormat="1" applyFont="1" applyBorder="1" applyAlignment="1">
      <alignment vertical="center" wrapText="1"/>
    </xf>
    <xf numFmtId="49" fontId="44" fillId="0" borderId="1" xfId="0" applyNumberFormat="1" applyFont="1" applyBorder="1" applyAlignment="1">
      <alignment vertical="top" wrapText="1"/>
    </xf>
    <xf numFmtId="0" fontId="44" fillId="0" borderId="1" xfId="0" applyFont="1" applyBorder="1" applyAlignment="1">
      <alignment vertical="top" wrapText="1"/>
    </xf>
    <xf numFmtId="0" fontId="43" fillId="0" borderId="3" xfId="0" applyFont="1" applyBorder="1" applyAlignment="1">
      <alignment vertical="top" wrapText="1"/>
    </xf>
    <xf numFmtId="166" fontId="43" fillId="0" borderId="3" xfId="0" applyNumberFormat="1" applyFont="1" applyBorder="1" applyAlignment="1">
      <alignment vertical="top" wrapText="1"/>
    </xf>
    <xf numFmtId="166" fontId="43" fillId="0" borderId="3" xfId="1" applyNumberFormat="1" applyFont="1" applyBorder="1" applyAlignment="1">
      <alignment vertical="top" wrapText="1"/>
    </xf>
    <xf numFmtId="0" fontId="43" fillId="13" borderId="6" xfId="0" applyFont="1" applyFill="1" applyBorder="1" applyAlignment="1">
      <alignment vertical="top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/>
    <xf numFmtId="0" fontId="46" fillId="0" borderId="1" xfId="0" applyFont="1" applyBorder="1" applyAlignment="1">
      <alignment horizontal="left"/>
    </xf>
    <xf numFmtId="17" fontId="29" fillId="0" borderId="0" xfId="0" applyNumberFormat="1" applyFont="1" applyAlignment="1">
      <alignment vertical="center"/>
    </xf>
    <xf numFmtId="171" fontId="48" fillId="0" borderId="1" xfId="3" applyNumberFormat="1" applyFont="1" applyBorder="1"/>
    <xf numFmtId="0" fontId="46" fillId="0" borderId="1" xfId="0" applyFont="1" applyBorder="1"/>
    <xf numFmtId="0" fontId="49" fillId="0" borderId="1" xfId="0" applyFont="1" applyBorder="1" applyAlignment="1">
      <alignment horizontal="left"/>
    </xf>
    <xf numFmtId="168" fontId="45" fillId="0" borderId="1" xfId="1" applyNumberFormat="1" applyFont="1" applyBorder="1"/>
    <xf numFmtId="168" fontId="45" fillId="0" borderId="9" xfId="1" applyNumberFormat="1" applyFont="1" applyBorder="1"/>
    <xf numFmtId="168" fontId="50" fillId="0" borderId="9" xfId="1" applyNumberFormat="1" applyFont="1" applyBorder="1"/>
    <xf numFmtId="168" fontId="46" fillId="0" borderId="1" xfId="1" applyNumberFormat="1" applyFont="1" applyFill="1" applyBorder="1"/>
    <xf numFmtId="168" fontId="46" fillId="0" borderId="9" xfId="1" applyNumberFormat="1" applyFont="1" applyFill="1" applyBorder="1"/>
    <xf numFmtId="0" fontId="0" fillId="0" borderId="3" xfId="0" applyBorder="1"/>
    <xf numFmtId="166" fontId="8" fillId="0" borderId="4" xfId="1" applyNumberFormat="1" applyFont="1" applyBorder="1"/>
    <xf numFmtId="172" fontId="50" fillId="5" borderId="1" xfId="0" applyNumberFormat="1" applyFont="1" applyFill="1" applyBorder="1"/>
    <xf numFmtId="172" fontId="49" fillId="0" borderId="1" xfId="0" applyNumberFormat="1" applyFont="1" applyBorder="1"/>
    <xf numFmtId="172" fontId="50" fillId="0" borderId="1" xfId="0" applyNumberFormat="1" applyFont="1" applyBorder="1"/>
    <xf numFmtId="172" fontId="45" fillId="5" borderId="1" xfId="0" applyNumberFormat="1" applyFont="1" applyFill="1" applyBorder="1" applyAlignment="1">
      <alignment vertical="top"/>
    </xf>
    <xf numFmtId="0" fontId="51" fillId="0" borderId="1" xfId="0" applyFont="1" applyBorder="1" applyAlignment="1">
      <alignment horizontal="left"/>
    </xf>
    <xf numFmtId="168" fontId="50" fillId="0" borderId="1" xfId="1" applyNumberFormat="1" applyFont="1" applyBorder="1"/>
    <xf numFmtId="173" fontId="52" fillId="0" borderId="1" xfId="3" applyNumberFormat="1" applyFont="1" applyBorder="1"/>
    <xf numFmtId="0" fontId="53" fillId="0" borderId="1" xfId="0" applyFont="1" applyBorder="1"/>
    <xf numFmtId="1" fontId="53" fillId="0" borderId="1" xfId="0" applyNumberFormat="1" applyFont="1" applyBorder="1"/>
    <xf numFmtId="174" fontId="53" fillId="0" borderId="1" xfId="0" applyNumberFormat="1" applyFont="1" applyBorder="1"/>
    <xf numFmtId="168" fontId="40" fillId="5" borderId="1" xfId="1" applyNumberFormat="1" applyFont="1" applyFill="1" applyBorder="1"/>
    <xf numFmtId="0" fontId="0" fillId="5" borderId="1" xfId="0" applyFill="1" applyBorder="1"/>
    <xf numFmtId="14" fontId="40" fillId="5" borderId="1" xfId="0" applyNumberFormat="1" applyFont="1" applyFill="1" applyBorder="1"/>
    <xf numFmtId="0" fontId="40" fillId="5" borderId="1" xfId="0" applyFont="1" applyFill="1" applyBorder="1"/>
    <xf numFmtId="0" fontId="54" fillId="5" borderId="1" xfId="0" applyFont="1" applyFill="1" applyBorder="1"/>
    <xf numFmtId="3" fontId="41" fillId="13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3" borderId="1" xfId="0" applyFill="1" applyBorder="1" applyAlignment="1">
      <alignment vertical="center"/>
    </xf>
    <xf numFmtId="4" fontId="10" fillId="3" borderId="1" xfId="0" applyNumberFormat="1" applyFont="1" applyFill="1" applyBorder="1" applyAlignment="1">
      <alignment horizontal="center" vertical="center"/>
    </xf>
    <xf numFmtId="175" fontId="56" fillId="0" borderId="0" xfId="0" applyNumberFormat="1" applyFont="1"/>
    <xf numFmtId="0" fontId="56" fillId="0" borderId="0" xfId="0" applyFont="1"/>
    <xf numFmtId="0" fontId="57" fillId="0" borderId="0" xfId="0" applyFont="1"/>
    <xf numFmtId="3" fontId="56" fillId="0" borderId="0" xfId="0" applyNumberFormat="1" applyFont="1"/>
    <xf numFmtId="176" fontId="57" fillId="0" borderId="0" xfId="0" applyNumberFormat="1" applyFont="1"/>
    <xf numFmtId="175" fontId="57" fillId="15" borderId="52" xfId="3" applyNumberFormat="1" applyFont="1" applyFill="1" applyBorder="1"/>
    <xf numFmtId="177" fontId="57" fillId="15" borderId="52" xfId="3" applyNumberFormat="1" applyFont="1" applyFill="1" applyBorder="1"/>
    <xf numFmtId="3" fontId="57" fillId="15" borderId="52" xfId="4" applyNumberFormat="1" applyFont="1" applyFill="1" applyBorder="1"/>
    <xf numFmtId="176" fontId="57" fillId="15" borderId="53" xfId="4" applyNumberFormat="1" applyFont="1" applyFill="1" applyBorder="1"/>
    <xf numFmtId="177" fontId="56" fillId="0" borderId="0" xfId="3" applyNumberFormat="1" applyFont="1"/>
    <xf numFmtId="175" fontId="59" fillId="0" borderId="1" xfId="3" applyNumberFormat="1" applyFont="1" applyBorder="1" applyAlignment="1">
      <alignment vertical="top" wrapText="1"/>
    </xf>
    <xf numFmtId="0" fontId="56" fillId="0" borderId="1" xfId="0" applyFont="1" applyBorder="1"/>
    <xf numFmtId="3" fontId="56" fillId="0" borderId="1" xfId="0" applyNumberFormat="1" applyFont="1" applyBorder="1"/>
    <xf numFmtId="176" fontId="57" fillId="0" borderId="1" xfId="4" applyNumberFormat="1" applyFont="1" applyBorder="1"/>
    <xf numFmtId="179" fontId="60" fillId="0" borderId="1" xfId="3" applyNumberFormat="1" applyFont="1" applyBorder="1" applyAlignment="1">
      <alignment vertical="top" wrapText="1"/>
    </xf>
    <xf numFmtId="175" fontId="63" fillId="0" borderId="1" xfId="0" applyNumberFormat="1" applyFont="1" applyBorder="1"/>
    <xf numFmtId="176" fontId="64" fillId="5" borderId="1" xfId="4" applyNumberFormat="1" applyFont="1" applyFill="1" applyBorder="1"/>
    <xf numFmtId="176" fontId="57" fillId="15" borderId="52" xfId="4" applyNumberFormat="1" applyFont="1" applyFill="1" applyBorder="1"/>
    <xf numFmtId="175" fontId="59" fillId="0" borderId="2" xfId="3" applyNumberFormat="1" applyFont="1" applyBorder="1" applyAlignment="1">
      <alignment vertical="top" wrapText="1"/>
    </xf>
    <xf numFmtId="0" fontId="65" fillId="0" borderId="1" xfId="0" applyFont="1" applyBorder="1" applyAlignment="1">
      <alignment vertical="center"/>
    </xf>
    <xf numFmtId="0" fontId="66" fillId="5" borderId="1" xfId="0" applyFont="1" applyFill="1" applyBorder="1" applyAlignment="1">
      <alignment vertical="center"/>
    </xf>
    <xf numFmtId="175" fontId="63" fillId="0" borderId="0" xfId="0" applyNumberFormat="1" applyFont="1"/>
    <xf numFmtId="176" fontId="64" fillId="0" borderId="0" xfId="0" applyNumberFormat="1" applyFont="1"/>
    <xf numFmtId="175" fontId="68" fillId="15" borderId="52" xfId="3" applyNumberFormat="1" applyFont="1" applyFill="1" applyBorder="1"/>
    <xf numFmtId="168" fontId="0" fillId="0" borderId="1" xfId="0" applyNumberFormat="1" applyBorder="1"/>
    <xf numFmtId="168" fontId="0" fillId="0" borderId="1" xfId="1" applyNumberFormat="1" applyFont="1" applyFill="1" applyBorder="1"/>
    <xf numFmtId="14" fontId="0" fillId="0" borderId="1" xfId="0" applyNumberFormat="1" applyBorder="1"/>
    <xf numFmtId="168" fontId="0" fillId="0" borderId="1" xfId="1" applyNumberFormat="1" applyFont="1" applyBorder="1"/>
    <xf numFmtId="0" fontId="69" fillId="0" borderId="1" xfId="0" applyFont="1" applyBorder="1"/>
    <xf numFmtId="15" fontId="0" fillId="0" borderId="1" xfId="0" applyNumberFormat="1" applyBorder="1"/>
    <xf numFmtId="3" fontId="65" fillId="0" borderId="1" xfId="0" applyNumberFormat="1" applyFont="1" applyBorder="1" applyAlignment="1">
      <alignment vertical="center"/>
    </xf>
    <xf numFmtId="176" fontId="71" fillId="0" borderId="1" xfId="5" applyNumberFormat="1" applyFont="1" applyBorder="1" applyProtection="1"/>
    <xf numFmtId="0" fontId="65" fillId="0" borderId="0" xfId="0" applyFont="1" applyAlignment="1">
      <alignment vertical="center"/>
    </xf>
    <xf numFmtId="175" fontId="65" fillId="0" borderId="0" xfId="3" applyNumberFormat="1" applyFont="1" applyAlignment="1">
      <alignment horizontal="center" vertical="top" wrapText="1"/>
    </xf>
    <xf numFmtId="3" fontId="65" fillId="0" borderId="0" xfId="0" applyNumberFormat="1" applyFont="1" applyAlignment="1">
      <alignment vertical="center"/>
    </xf>
    <xf numFmtId="176" fontId="65" fillId="0" borderId="0" xfId="5" applyNumberFormat="1" applyFont="1" applyProtection="1"/>
    <xf numFmtId="0" fontId="56" fillId="0" borderId="1" xfId="0" applyFont="1" applyBorder="1" applyAlignment="1">
      <alignment vertical="center"/>
    </xf>
    <xf numFmtId="175" fontId="65" fillId="0" borderId="1" xfId="3" applyNumberFormat="1" applyFont="1" applyBorder="1" applyAlignment="1">
      <alignment vertical="top" wrapText="1"/>
    </xf>
    <xf numFmtId="0" fontId="53" fillId="5" borderId="1" xfId="0" applyFont="1" applyFill="1" applyBorder="1"/>
    <xf numFmtId="175" fontId="65" fillId="0" borderId="0" xfId="3" applyNumberFormat="1" applyFont="1" applyAlignment="1">
      <alignment vertical="top" wrapText="1"/>
    </xf>
    <xf numFmtId="176" fontId="64" fillId="0" borderId="0" xfId="4" applyNumberFormat="1" applyFont="1" applyBorder="1"/>
    <xf numFmtId="176" fontId="0" fillId="5" borderId="1" xfId="1" applyNumberFormat="1" applyFont="1" applyFill="1" applyBorder="1"/>
    <xf numFmtId="0" fontId="0" fillId="0" borderId="0" xfId="0" applyAlignment="1">
      <alignment vertical="center"/>
    </xf>
    <xf numFmtId="168" fontId="54" fillId="0" borderId="1" xfId="1" applyNumberFormat="1" applyFont="1" applyFill="1" applyBorder="1"/>
    <xf numFmtId="176" fontId="72" fillId="0" borderId="55" xfId="4" applyNumberFormat="1" applyFont="1" applyBorder="1" applyAlignment="1">
      <alignment horizontal="center" vertical="center"/>
    </xf>
    <xf numFmtId="0" fontId="65" fillId="0" borderId="1" xfId="0" applyFont="1" applyBorder="1"/>
    <xf numFmtId="176" fontId="57" fillId="0" borderId="0" xfId="4" applyNumberFormat="1" applyFont="1" applyBorder="1" applyAlignment="1">
      <alignment horizontal="center" vertical="center"/>
    </xf>
    <xf numFmtId="175" fontId="0" fillId="0" borderId="0" xfId="0" applyNumberFormat="1"/>
    <xf numFmtId="176" fontId="73" fillId="16" borderId="0" xfId="4" applyNumberFormat="1" applyFont="1" applyFill="1" applyBorder="1"/>
    <xf numFmtId="176" fontId="57" fillId="0" borderId="55" xfId="4" applyNumberFormat="1" applyFont="1" applyBorder="1" applyAlignment="1">
      <alignment horizontal="center" vertical="center"/>
    </xf>
    <xf numFmtId="14" fontId="40" fillId="0" borderId="0" xfId="0" applyNumberFormat="1" applyFont="1"/>
    <xf numFmtId="168" fontId="0" fillId="5" borderId="0" xfId="1" applyNumberFormat="1" applyFont="1" applyFill="1" applyBorder="1"/>
    <xf numFmtId="176" fontId="64" fillId="0" borderId="0" xfId="4" applyNumberFormat="1" applyFont="1" applyBorder="1" applyAlignment="1">
      <alignment horizontal="center" vertical="center"/>
    </xf>
    <xf numFmtId="0" fontId="0" fillId="0" borderId="9" xfId="0" applyBorder="1"/>
    <xf numFmtId="168" fontId="0" fillId="0" borderId="0" xfId="1" applyNumberFormat="1" applyFont="1" applyBorder="1"/>
    <xf numFmtId="175" fontId="65" fillId="5" borderId="1" xfId="3" applyNumberFormat="1" applyFont="1" applyFill="1" applyBorder="1" applyAlignment="1">
      <alignment vertical="top" wrapText="1"/>
    </xf>
    <xf numFmtId="0" fontId="56" fillId="5" borderId="1" xfId="0" applyFont="1" applyFill="1" applyBorder="1"/>
    <xf numFmtId="3" fontId="56" fillId="5" borderId="1" xfId="0" applyNumberFormat="1" applyFont="1" applyFill="1" applyBorder="1"/>
    <xf numFmtId="176" fontId="57" fillId="5" borderId="1" xfId="4" applyNumberFormat="1" applyFont="1" applyFill="1" applyBorder="1"/>
    <xf numFmtId="0" fontId="55" fillId="0" borderId="1" xfId="0" applyFont="1" applyBorder="1"/>
    <xf numFmtId="0" fontId="74" fillId="0" borderId="1" xfId="0" applyFont="1" applyBorder="1"/>
    <xf numFmtId="0" fontId="0" fillId="0" borderId="0" xfId="0" pivotButton="1"/>
    <xf numFmtId="0" fontId="0" fillId="0" borderId="0" xfId="0" applyAlignment="1">
      <alignment horizontal="left"/>
    </xf>
    <xf numFmtId="1" fontId="0" fillId="0" borderId="1" xfId="0" applyNumberFormat="1" applyBorder="1"/>
    <xf numFmtId="164" fontId="0" fillId="0" borderId="0" xfId="0" applyNumberFormat="1"/>
    <xf numFmtId="3" fontId="75" fillId="14" borderId="1" xfId="0" applyNumberFormat="1" applyFont="1" applyFill="1" applyBorder="1"/>
    <xf numFmtId="3" fontId="57" fillId="0" borderId="0" xfId="0" applyNumberFormat="1" applyFont="1"/>
    <xf numFmtId="176" fontId="76" fillId="5" borderId="0" xfId="1" applyNumberFormat="1" applyFont="1" applyFill="1" applyBorder="1"/>
    <xf numFmtId="168" fontId="75" fillId="0" borderId="0" xfId="1" applyNumberFormat="1" applyFont="1" applyFill="1" applyBorder="1"/>
    <xf numFmtId="168" fontId="77" fillId="0" borderId="0" xfId="1" applyNumberFormat="1" applyFont="1" applyFill="1" applyBorder="1"/>
    <xf numFmtId="168" fontId="78" fillId="3" borderId="0" xfId="1" applyNumberFormat="1" applyFont="1" applyFill="1" applyBorder="1"/>
    <xf numFmtId="168" fontId="5" fillId="5" borderId="0" xfId="1" applyNumberFormat="1" applyFont="1" applyFill="1" applyBorder="1"/>
    <xf numFmtId="0" fontId="75" fillId="0" borderId="0" xfId="0" applyFont="1"/>
    <xf numFmtId="3" fontId="75" fillId="0" borderId="0" xfId="0" applyNumberFormat="1" applyFont="1"/>
    <xf numFmtId="0" fontId="75" fillId="0" borderId="0" xfId="0" applyFont="1" applyAlignment="1">
      <alignment horizontal="center"/>
    </xf>
    <xf numFmtId="0" fontId="75" fillId="0" borderId="0" xfId="0" applyFont="1" applyAlignment="1">
      <alignment horizontal="right"/>
    </xf>
    <xf numFmtId="166" fontId="10" fillId="3" borderId="1" xfId="1" applyNumberFormat="1" applyFont="1" applyFill="1" applyBorder="1"/>
    <xf numFmtId="166" fontId="11" fillId="3" borderId="1" xfId="0" applyNumberFormat="1" applyFont="1" applyFill="1" applyBorder="1" applyAlignment="1">
      <alignment vertical="top" wrapText="1"/>
    </xf>
    <xf numFmtId="166" fontId="12" fillId="3" borderId="1" xfId="1" applyNumberFormat="1" applyFont="1" applyFill="1" applyBorder="1"/>
    <xf numFmtId="166" fontId="12" fillId="3" borderId="2" xfId="1" applyNumberFormat="1" applyFont="1" applyFill="1" applyBorder="1"/>
    <xf numFmtId="176" fontId="0" fillId="0" borderId="0" xfId="0" applyNumberFormat="1"/>
    <xf numFmtId="168" fontId="46" fillId="0" borderId="0" xfId="1" applyNumberFormat="1" applyFont="1" applyFill="1" applyBorder="1"/>
    <xf numFmtId="168" fontId="0" fillId="0" borderId="0" xfId="0" applyNumberFormat="1"/>
    <xf numFmtId="168" fontId="46" fillId="2" borderId="9" xfId="1" applyNumberFormat="1" applyFont="1" applyFill="1" applyBorder="1"/>
    <xf numFmtId="3" fontId="0" fillId="3" borderId="1" xfId="0" applyNumberFormat="1" applyFill="1" applyBorder="1"/>
    <xf numFmtId="3" fontId="75" fillId="3" borderId="1" xfId="0" applyNumberFormat="1" applyFont="1" applyFill="1" applyBorder="1"/>
    <xf numFmtId="166" fontId="46" fillId="2" borderId="9" xfId="1" applyNumberFormat="1" applyFont="1" applyFill="1" applyBorder="1"/>
    <xf numFmtId="166" fontId="50" fillId="0" borderId="9" xfId="1" applyNumberFormat="1" applyFont="1" applyBorder="1"/>
    <xf numFmtId="166" fontId="45" fillId="0" borderId="9" xfId="1" applyNumberFormat="1" applyFont="1" applyBorder="1"/>
    <xf numFmtId="166" fontId="0" fillId="0" borderId="0" xfId="0" applyNumberFormat="1"/>
    <xf numFmtId="14" fontId="0" fillId="14" borderId="2" xfId="0" applyNumberFormat="1" applyFill="1" applyBorder="1"/>
    <xf numFmtId="14" fontId="0" fillId="14" borderId="50" xfId="0" applyNumberFormat="1" applyFill="1" applyBorder="1"/>
    <xf numFmtId="14" fontId="0" fillId="14" borderId="31" xfId="0" applyNumberFormat="1" applyFill="1" applyBorder="1"/>
    <xf numFmtId="171" fontId="48" fillId="5" borderId="1" xfId="3" applyNumberFormat="1" applyFont="1" applyFill="1" applyBorder="1"/>
    <xf numFmtId="0" fontId="45" fillId="5" borderId="1" xfId="0" applyFont="1" applyFill="1" applyBorder="1" applyAlignment="1">
      <alignment horizontal="left" vertical="center"/>
    </xf>
    <xf numFmtId="168" fontId="45" fillId="5" borderId="1" xfId="1" applyNumberFormat="1" applyFont="1" applyFill="1" applyBorder="1"/>
    <xf numFmtId="168" fontId="46" fillId="5" borderId="1" xfId="1" applyNumberFormat="1" applyFont="1" applyFill="1" applyBorder="1"/>
    <xf numFmtId="0" fontId="45" fillId="5" borderId="1" xfId="0" applyFont="1" applyFill="1" applyBorder="1"/>
    <xf numFmtId="168" fontId="45" fillId="5" borderId="9" xfId="1" applyNumberFormat="1" applyFont="1" applyFill="1" applyBorder="1"/>
    <xf numFmtId="0" fontId="49" fillId="5" borderId="9" xfId="0" applyFont="1" applyFill="1" applyBorder="1" applyAlignment="1">
      <alignment horizontal="center" vertical="center"/>
    </xf>
    <xf numFmtId="0" fontId="46" fillId="5" borderId="1" xfId="0" applyFont="1" applyFill="1" applyBorder="1" applyAlignment="1">
      <alignment horizontal="left"/>
    </xf>
    <xf numFmtId="181" fontId="41" fillId="12" borderId="4" xfId="0" applyNumberFormat="1" applyFont="1" applyFill="1" applyBorder="1" applyAlignment="1">
      <alignment horizontal="center" vertical="center" wrapText="1"/>
    </xf>
    <xf numFmtId="181" fontId="0" fillId="0" borderId="0" xfId="0" applyNumberFormat="1"/>
    <xf numFmtId="0" fontId="49" fillId="0" borderId="1" xfId="0" applyFont="1" applyFill="1" applyBorder="1" applyAlignment="1">
      <alignment horizontal="left"/>
    </xf>
    <xf numFmtId="171" fontId="48" fillId="3" borderId="1" xfId="3" applyNumberFormat="1" applyFont="1" applyFill="1" applyBorder="1"/>
    <xf numFmtId="0" fontId="45" fillId="3" borderId="1" xfId="0" applyFont="1" applyFill="1" applyBorder="1"/>
    <xf numFmtId="172" fontId="50" fillId="3" borderId="1" xfId="0" applyNumberFormat="1" applyFont="1" applyFill="1" applyBorder="1"/>
    <xf numFmtId="168" fontId="46" fillId="3" borderId="1" xfId="1" applyNumberFormat="1" applyFont="1" applyFill="1" applyBorder="1"/>
    <xf numFmtId="3" fontId="82" fillId="17" borderId="1" xfId="0" applyNumberFormat="1" applyFont="1" applyFill="1" applyBorder="1"/>
    <xf numFmtId="166" fontId="46" fillId="5" borderId="9" xfId="1" applyNumberFormat="1" applyFont="1" applyFill="1" applyBorder="1"/>
    <xf numFmtId="0" fontId="49" fillId="5" borderId="1" xfId="0" applyFont="1" applyFill="1" applyBorder="1" applyAlignment="1">
      <alignment horizontal="center" vertical="center"/>
    </xf>
    <xf numFmtId="175" fontId="63" fillId="0" borderId="0" xfId="0" applyNumberFormat="1" applyFont="1" applyBorder="1"/>
    <xf numFmtId="0" fontId="56" fillId="0" borderId="0" xfId="0" applyFont="1" applyBorder="1"/>
    <xf numFmtId="0" fontId="57" fillId="0" borderId="0" xfId="0" applyFont="1" applyBorder="1"/>
    <xf numFmtId="3" fontId="56" fillId="0" borderId="0" xfId="0" applyNumberFormat="1" applyFont="1" applyBorder="1"/>
    <xf numFmtId="176" fontId="57" fillId="0" borderId="0" xfId="0" applyNumberFormat="1" applyFont="1" applyBorder="1"/>
    <xf numFmtId="14" fontId="40" fillId="0" borderId="1" xfId="0" applyNumberFormat="1" applyFont="1" applyFill="1" applyBorder="1"/>
    <xf numFmtId="0" fontId="0" fillId="5" borderId="1" xfId="0" applyFont="1" applyFill="1" applyBorder="1"/>
    <xf numFmtId="3" fontId="0" fillId="5" borderId="1" xfId="0" applyNumberFormat="1" applyFill="1" applyBorder="1"/>
    <xf numFmtId="168" fontId="54" fillId="5" borderId="1" xfId="1" applyNumberFormat="1" applyFont="1" applyFill="1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4" xfId="0" applyBorder="1"/>
    <xf numFmtId="168" fontId="77" fillId="5" borderId="1" xfId="1" applyNumberFormat="1" applyFont="1" applyFill="1" applyBorder="1"/>
    <xf numFmtId="168" fontId="54" fillId="5" borderId="9" xfId="1" applyNumberFormat="1" applyFont="1" applyFill="1" applyBorder="1"/>
    <xf numFmtId="168" fontId="2" fillId="5" borderId="1" xfId="1" applyNumberFormat="1" applyFont="1" applyFill="1" applyBorder="1"/>
    <xf numFmtId="0" fontId="0" fillId="0" borderId="1" xfId="0" applyFont="1" applyBorder="1"/>
    <xf numFmtId="0" fontId="54" fillId="0" borderId="1" xfId="0" applyFont="1" applyFill="1" applyBorder="1"/>
    <xf numFmtId="168" fontId="2" fillId="0" borderId="9" xfId="1" applyNumberFormat="1" applyFont="1" applyFill="1" applyBorder="1"/>
    <xf numFmtId="168" fontId="2" fillId="0" borderId="1" xfId="1" applyNumberFormat="1" applyFont="1" applyFill="1" applyBorder="1"/>
    <xf numFmtId="173" fontId="61" fillId="0" borderId="1" xfId="3" applyNumberFormat="1" applyFont="1" applyFill="1" applyBorder="1" applyAlignment="1">
      <alignment horizontal="right"/>
    </xf>
    <xf numFmtId="0" fontId="62" fillId="0" borderId="1" xfId="0" applyFont="1" applyFill="1" applyBorder="1"/>
    <xf numFmtId="0" fontId="62" fillId="0" borderId="1" xfId="3" applyFont="1" applyFill="1" applyBorder="1" applyAlignment="1"/>
    <xf numFmtId="0" fontId="61" fillId="0" borderId="54" xfId="3" applyFont="1" applyFill="1" applyBorder="1" applyAlignment="1">
      <alignment vertical="top"/>
    </xf>
    <xf numFmtId="180" fontId="61" fillId="0" borderId="54" xfId="4" applyNumberFormat="1" applyFont="1" applyFill="1" applyBorder="1" applyAlignment="1">
      <alignment vertical="top"/>
    </xf>
    <xf numFmtId="180" fontId="61" fillId="0" borderId="1" xfId="4" applyNumberFormat="1" applyFont="1" applyFill="1" applyBorder="1" applyAlignment="1">
      <alignment horizontal="right" vertical="top" wrapText="1"/>
    </xf>
    <xf numFmtId="180" fontId="83" fillId="16" borderId="54" xfId="4" applyNumberFormat="1" applyFont="1" applyFill="1" applyBorder="1" applyAlignment="1"/>
    <xf numFmtId="179" fontId="61" fillId="0" borderId="54" xfId="3" applyNumberFormat="1" applyFont="1" applyFill="1" applyBorder="1" applyAlignment="1">
      <alignment vertical="top" wrapText="1"/>
    </xf>
    <xf numFmtId="179" fontId="61" fillId="0" borderId="1" xfId="3" applyNumberFormat="1" applyFont="1" applyFill="1" applyBorder="1" applyAlignment="1">
      <alignment vertical="top"/>
    </xf>
    <xf numFmtId="0" fontId="61" fillId="0" borderId="1" xfId="3" applyFont="1" applyFill="1" applyBorder="1" applyAlignment="1"/>
    <xf numFmtId="14" fontId="0" fillId="5" borderId="1" xfId="0" applyNumberFormat="1" applyFill="1" applyBorder="1" applyAlignment="1">
      <alignment vertical="center"/>
    </xf>
    <xf numFmtId="0" fontId="67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168" fontId="66" fillId="5" borderId="1" xfId="0" applyNumberFormat="1" applyFont="1" applyFill="1" applyBorder="1" applyAlignment="1"/>
    <xf numFmtId="0" fontId="0" fillId="0" borderId="3" xfId="0" applyFill="1" applyBorder="1"/>
    <xf numFmtId="0" fontId="53" fillId="0" borderId="4" xfId="0" applyFont="1" applyFill="1" applyBorder="1"/>
    <xf numFmtId="180" fontId="73" fillId="16" borderId="1" xfId="4" applyNumberFormat="1" applyFont="1" applyFill="1" applyBorder="1" applyAlignment="1"/>
    <xf numFmtId="15" fontId="0" fillId="0" borderId="0" xfId="0" applyNumberFormat="1"/>
    <xf numFmtId="0" fontId="69" fillId="0" borderId="0" xfId="0" applyFont="1"/>
    <xf numFmtId="180" fontId="69" fillId="0" borderId="0" xfId="4" applyNumberFormat="1" applyFont="1" applyBorder="1"/>
    <xf numFmtId="0" fontId="0" fillId="0" borderId="1" xfId="0" applyBorder="1" applyAlignment="1"/>
    <xf numFmtId="168" fontId="65" fillId="0" borderId="1" xfId="1" applyNumberFormat="1" applyFont="1" applyFill="1" applyBorder="1" applyAlignment="1">
      <alignment vertical="center"/>
    </xf>
    <xf numFmtId="0" fontId="53" fillId="0" borderId="0" xfId="0" applyFont="1" applyBorder="1"/>
    <xf numFmtId="0" fontId="0" fillId="0" borderId="0" xfId="0" applyNumberFormat="1"/>
    <xf numFmtId="173" fontId="52" fillId="5" borderId="1" xfId="3" applyNumberFormat="1" applyFont="1" applyFill="1" applyBorder="1"/>
    <xf numFmtId="173" fontId="0" fillId="0" borderId="0" xfId="0" applyNumberFormat="1" applyAlignment="1">
      <alignment horizontal="left" indent="1"/>
    </xf>
    <xf numFmtId="168" fontId="0" fillId="5" borderId="1" xfId="1" applyNumberFormat="1" applyFont="1" applyFill="1" applyBorder="1"/>
    <xf numFmtId="176" fontId="57" fillId="0" borderId="1" xfId="4" applyNumberFormat="1" applyFont="1" applyBorder="1" applyAlignment="1">
      <alignment horizontal="center" vertical="center"/>
    </xf>
    <xf numFmtId="168" fontId="50" fillId="5" borderId="1" xfId="1" applyNumberFormat="1" applyFont="1" applyFill="1" applyBorder="1"/>
    <xf numFmtId="0" fontId="1" fillId="0" borderId="1" xfId="0" applyFont="1" applyBorder="1"/>
    <xf numFmtId="168" fontId="65" fillId="5" borderId="1" xfId="5" applyNumberFormat="1" applyFont="1" applyFill="1" applyBorder="1" applyProtection="1"/>
    <xf numFmtId="168" fontId="53" fillId="5" borderId="1" xfId="1" applyNumberFormat="1" applyFont="1" applyFill="1" applyBorder="1"/>
    <xf numFmtId="166" fontId="24" fillId="8" borderId="13" xfId="0" applyNumberFormat="1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175" fontId="65" fillId="0" borderId="2" xfId="3" applyNumberFormat="1" applyFont="1" applyBorder="1" applyAlignment="1">
      <alignment horizontal="center" vertical="top" wrapText="1"/>
    </xf>
    <xf numFmtId="175" fontId="65" fillId="0" borderId="50" xfId="3" applyNumberFormat="1" applyFont="1" applyBorder="1" applyAlignment="1">
      <alignment horizontal="center" vertical="top" wrapText="1"/>
    </xf>
    <xf numFmtId="175" fontId="65" fillId="0" borderId="31" xfId="3" applyNumberFormat="1" applyFont="1" applyBorder="1" applyAlignment="1">
      <alignment horizontal="center" vertical="top" wrapText="1"/>
    </xf>
    <xf numFmtId="0" fontId="57" fillId="0" borderId="0" xfId="0" applyFont="1" applyAlignment="1">
      <alignment horizontal="center"/>
    </xf>
    <xf numFmtId="0" fontId="31" fillId="11" borderId="24" xfId="0" applyFont="1" applyFill="1" applyBorder="1" applyAlignment="1">
      <alignment horizontal="center" vertical="center"/>
    </xf>
    <xf numFmtId="0" fontId="31" fillId="11" borderId="25" xfId="0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166" fontId="38" fillId="0" borderId="41" xfId="0" applyNumberFormat="1" applyFont="1" applyBorder="1" applyAlignment="1">
      <alignment horizontal="left" vertical="center"/>
    </xf>
    <xf numFmtId="166" fontId="38" fillId="0" borderId="42" xfId="0" applyNumberFormat="1" applyFont="1" applyBorder="1" applyAlignment="1">
      <alignment horizontal="left" vertical="center"/>
    </xf>
    <xf numFmtId="49" fontId="39" fillId="0" borderId="0" xfId="0" applyNumberFormat="1" applyFont="1" applyAlignment="1">
      <alignment horizontal="left" vertical="center"/>
    </xf>
    <xf numFmtId="49" fontId="39" fillId="0" borderId="43" xfId="0" applyNumberFormat="1" applyFont="1" applyBorder="1" applyAlignment="1">
      <alignment horizontal="left" vertical="center"/>
    </xf>
    <xf numFmtId="166" fontId="38" fillId="0" borderId="22" xfId="0" applyNumberFormat="1" applyFont="1" applyBorder="1" applyAlignment="1">
      <alignment horizontal="center" vertical="center" wrapText="1"/>
    </xf>
    <xf numFmtId="166" fontId="38" fillId="0" borderId="45" xfId="0" applyNumberFormat="1" applyFont="1" applyBorder="1" applyAlignment="1">
      <alignment horizontal="center" vertical="center" wrapText="1"/>
    </xf>
  </cellXfs>
  <cellStyles count="9">
    <cellStyle name="Comma 2" xfId="8"/>
    <cellStyle name="Excel Built-in Comma" xfId="4"/>
    <cellStyle name="Excel Built-in Normal" xfId="3"/>
    <cellStyle name="Milliers" xfId="1" builtinId="3"/>
    <cellStyle name="Milliers 2" xfId="5"/>
    <cellStyle name="Milliers 4" xfId="6"/>
    <cellStyle name="Normal" xfId="0" builtinId="0"/>
    <cellStyle name="Normal 2" xfId="7"/>
    <cellStyle name="Normal_Total expenses by dat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3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69850</xdr:colOff>
      <xdr:row>1</xdr:row>
      <xdr:rowOff>95250</xdr:rowOff>
    </xdr:from>
    <xdr:to>
      <xdr:col>15</xdr:col>
      <xdr:colOff>62110</xdr:colOff>
      <xdr:row>56</xdr:row>
      <xdr:rowOff>69850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0400" y="273050"/>
          <a:ext cx="6659760" cy="10058400"/>
        </a:xfrm>
        <a:prstGeom prst="rect">
          <a:avLst/>
        </a:prstGeom>
      </xdr:spPr>
    </xdr:pic>
    <xdr:clientData/>
  </xdr:twoCellAnchor>
  <xdr:twoCellAnchor editAs="oneCell">
    <xdr:from>
      <xdr:col>15</xdr:col>
      <xdr:colOff>158750</xdr:colOff>
      <xdr:row>0</xdr:row>
      <xdr:rowOff>69850</xdr:rowOff>
    </xdr:from>
    <xdr:to>
      <xdr:col>25</xdr:col>
      <xdr:colOff>594995</xdr:colOff>
      <xdr:row>55</xdr:row>
      <xdr:rowOff>50800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6800" y="69850"/>
          <a:ext cx="7103745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127000</xdr:colOff>
      <xdr:row>2</xdr:row>
      <xdr:rowOff>38100</xdr:rowOff>
    </xdr:from>
    <xdr:to>
      <xdr:col>17</xdr:col>
      <xdr:colOff>565150</xdr:colOff>
      <xdr:row>54</xdr:row>
      <xdr:rowOff>116466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393700"/>
          <a:ext cx="7772400" cy="93239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ffa/OneDrive/Bureau/PALF%20IMPORTANT%20OK/Merveille%20Rapport%20financier/RAPPORT%20FINANCIER%20PALF/2025/Fevrier%202025/Fichier%20comptable-Juriste%20Abraham%20F&#233;vri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ffa/OneDrive/Bureau/PALF%20IMPORTANT%20OK/Merveille%20Rapport%20financier/RAPPORT%20FINANCIER%20PALF/2025/Fevrier%202025/Fichier%20comptable-Juriste%20F&#233;vrier%20Roderl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Compta Juriste "/>
      <sheetName val="Compta Juriste  (2)"/>
      <sheetName val="Feuil3"/>
      <sheetName val="Feuil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ta Juriste "/>
      <sheetName val="Feuil3"/>
      <sheetName val="Feuil2"/>
      <sheetName val="Feuil1"/>
    </sheetNames>
    <sheetDataSet>
      <sheetData sheetId="0"/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ana Hajduchová" id="{98584D5A-8469-40CB-92DE-DDEA7199F951}" userId="05fcd02066e7ea79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iffany Gobert" refreshedDate="45722.560981828705" createdVersion="5" refreshedVersion="5" minRefreshableVersion="3" recordCount="122">
  <cacheSource type="worksheet">
    <worksheetSource ref="A1:J123" sheet="Cash journal"/>
  </cacheSource>
  <cacheFields count="10">
    <cacheField name="Date" numFmtId="14">
      <sharedItems containsSemiMixedTypes="0" containsNonDate="0" containsDate="1" containsString="0" minDate="2025-02-01T00:00:00" maxDate="2025-03-01T00:00:00"/>
    </cacheField>
    <cacheField name="Details" numFmtId="0">
      <sharedItems/>
    </cacheField>
    <cacheField name="Department " numFmtId="0">
      <sharedItems containsBlank="1"/>
    </cacheField>
    <cacheField name="Type de Depenses" numFmtId="0">
      <sharedItems containsBlank="1"/>
    </cacheField>
    <cacheField name="Spent " numFmtId="168">
      <sharedItems containsString="0" containsBlank="1" containsNumber="1" minValue="560" maxValue="300000" count="65">
        <m/>
        <n v="42000"/>
        <n v="74000"/>
        <n v="88000"/>
        <n v="10000"/>
        <n v="16000"/>
        <n v="11000"/>
        <n v="84000"/>
        <n v="70000"/>
        <n v="40000"/>
        <n v="100000"/>
        <n v="25000"/>
        <n v="63000"/>
        <n v="198000"/>
        <n v="191000"/>
        <n v="148000"/>
        <n v="138000"/>
        <n v="4830.0000000000009"/>
        <n v="137000"/>
        <n v="4110"/>
        <n v="224000"/>
        <n v="6720"/>
        <n v="94430"/>
        <n v="30000"/>
        <n v="35000"/>
        <n v="99000"/>
        <n v="1980"/>
        <n v="98000"/>
        <n v="80000"/>
        <n v="154000"/>
        <n v="129464"/>
        <n v="80500"/>
        <n v="20000"/>
        <n v="31952"/>
        <n v="134000"/>
        <n v="135000"/>
        <n v="158000"/>
        <n v="11310"/>
        <n v="55000"/>
        <n v="5000"/>
        <n v="199000"/>
        <n v="230000"/>
        <n v="15000"/>
        <n v="300000"/>
        <n v="9000"/>
        <n v="75000"/>
        <n v="1952"/>
        <n v="14250"/>
        <n v="13615"/>
        <n v="14700"/>
        <n v="200000"/>
        <n v="8100"/>
        <n v="150000"/>
        <n v="52000"/>
        <n v="121000"/>
        <n v="10980"/>
        <n v="28000"/>
        <n v="560"/>
        <n v="6000"/>
        <n v="81000"/>
        <n v="7020"/>
        <n v="45050"/>
        <n v="75625"/>
        <n v="182000"/>
        <n v="10500"/>
      </sharedItems>
    </cacheField>
    <cacheField name="Received" numFmtId="168">
      <sharedItems containsString="0" containsBlank="1" containsNumber="1" containsInteger="1" minValue="70000" maxValue="2000000" count="5">
        <m/>
        <n v="2000000"/>
        <n v="70000"/>
        <n v="300000"/>
        <n v="150000"/>
      </sharedItems>
    </cacheField>
    <cacheField name="Balance" numFmtId="168">
      <sharedItems containsSemiMixedTypes="0" containsString="0" containsNumber="1" containsInteger="1" minValue="2825" maxValue="2147912"/>
    </cacheField>
    <cacheField name="Name" numFmtId="0">
      <sharedItems containsBlank="1" count="14">
        <m/>
        <s v="Merveille"/>
        <s v="Roderlin"/>
        <s v="Romain"/>
        <s v="P29"/>
        <s v="IT87"/>
        <s v="BCI"/>
        <s v="T73"/>
        <s v="Evariste"/>
        <s v="Abraham"/>
        <s v="G12"/>
        <s v="Parfaite"/>
        <s v="DOVI"/>
        <s v="Crepin"/>
      </sharedItems>
    </cacheField>
    <cacheField name="Receipt" numFmtId="0">
      <sharedItems containsBlank="1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iffany Gobert" refreshedDate="45722.626118287037" createdVersion="5" refreshedVersion="5" minRefreshableVersion="3" recordCount="180">
  <cacheSource type="worksheet">
    <worksheetSource ref="A1:O181" sheet="Février 2025"/>
  </cacheSource>
  <cacheFields count="15">
    <cacheField name="Date" numFmtId="173">
      <sharedItems containsSemiMixedTypes="0" containsNonDate="0" containsDate="1" containsString="0" minDate="2025-02-03T00:00:00" maxDate="2025-03-01T00:00:00"/>
    </cacheField>
    <cacheField name="Details" numFmtId="0">
      <sharedItems/>
    </cacheField>
    <cacheField name="Type of expenses" numFmtId="0">
      <sharedItems count="14">
        <s v="Telephone"/>
        <s v="Transport"/>
        <s v="Lawyer fees"/>
        <s v="Services"/>
        <s v="Office Materiels"/>
        <s v="Travel Subsistence"/>
        <s v="Rent &amp; Utilities"/>
        <s v="Bonus to media office"/>
        <s v="Transfert fees"/>
        <s v="Trust building"/>
        <s v="Personnel"/>
        <s v="Bonus"/>
        <s v="Jail visits"/>
        <s v="Internet"/>
      </sharedItems>
    </cacheField>
    <cacheField name="Department " numFmtId="0">
      <sharedItems count="6">
        <s v="Management"/>
        <s v="Legal"/>
        <s v="Investigation"/>
        <s v="Media"/>
        <s v="Office"/>
        <s v="Operation"/>
      </sharedItems>
    </cacheField>
    <cacheField name="Spent  in XAF" numFmtId="0">
      <sharedItems containsSemiMixedTypes="0" containsString="0" containsNumber="1" minValue="560" maxValue="500000"/>
    </cacheField>
    <cacheField name="Spent in $" numFmtId="1">
      <sharedItems containsSemiMixedTypes="0" containsString="0" containsNumber="1" minValue="0.93929314835967548" maxValue="838.65459674971032"/>
    </cacheField>
    <cacheField name="Exchange Rate $" numFmtId="0">
      <sharedItems containsSemiMixedTypes="0" containsString="0" containsNumber="1" minValue="596.19299999999998" maxValue="596.19299999999998"/>
    </cacheField>
    <cacheField name="Name" numFmtId="0">
      <sharedItems count="13">
        <s v="Merveille"/>
        <s v="P29"/>
        <s v="Romain"/>
        <s v="Roderlin"/>
        <s v="BCI"/>
        <s v="IT87"/>
        <s v="T73"/>
        <s v="G12"/>
        <s v="Evariste"/>
        <s v="Abraham"/>
        <s v="DOVI"/>
        <s v="Crépin"/>
        <s v="Parfaite"/>
      </sharedItems>
    </cacheField>
    <cacheField name="Receipt" numFmtId="0">
      <sharedItems/>
    </cacheField>
    <cacheField name="Project" numFmtId="0">
      <sharedItems/>
    </cacheField>
    <cacheField name="Donor" numFmtId="0">
      <sharedItems/>
    </cacheField>
    <cacheField name="Country" numFmtId="0">
      <sharedItems/>
    </cacheField>
    <cacheField name="Received in XAF" numFmtId="0">
      <sharedItems containsNonDate="0" containsString="0" containsBlank="1"/>
    </cacheField>
    <cacheField name="Received in $" numFmtId="0">
      <sharedItems containsNonDate="0" containsString="0" containsBlank="1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iffany Gobert" refreshedDate="45725.986703819442" createdVersion="5" refreshedVersion="5" minRefreshableVersion="3" recordCount="360">
  <cacheSource type="worksheet">
    <worksheetSource ref="A1:O361" sheet="Global data "/>
  </cacheSource>
  <cacheFields count="15">
    <cacheField name="Date" numFmtId="173">
      <sharedItems containsSemiMixedTypes="0" containsNonDate="0" containsDate="1" containsString="0" minDate="2025-01-02T00:00:00" maxDate="2025-03-01T00:00:00" count="51">
        <d v="2025-01-02T00:00:00"/>
        <d v="2025-01-03T00:00:00"/>
        <d v="2025-01-06T00:00:00"/>
        <d v="2025-01-07T00:00:00"/>
        <d v="2025-01-08T00:00:00"/>
        <d v="2025-01-09T00:00:00"/>
        <d v="2025-01-10T00:00:00"/>
        <d v="2025-01-13T00:00:00"/>
        <d v="2025-01-14T00:00:00"/>
        <d v="2025-01-15T00:00:00"/>
        <d v="2025-01-16T00:00:00"/>
        <d v="2025-01-17T00:00:00"/>
        <d v="2025-01-18T00:00:00"/>
        <d v="2025-01-19T00:00:00"/>
        <d v="2025-01-20T00:00:00"/>
        <d v="2025-01-21T00:00:00"/>
        <d v="2025-01-22T00:00:00"/>
        <d v="2025-01-23T00:00:00"/>
        <d v="2025-01-24T00:00:00"/>
        <d v="2025-01-25T00:00:00"/>
        <d v="2025-01-26T00:00:00"/>
        <d v="2025-01-27T00:00:00"/>
        <d v="2025-01-28T00:00:00"/>
        <d v="2025-01-29T00:00:00"/>
        <d v="2025-01-30T00:00:00"/>
        <d v="2025-01-31T00:00:00"/>
        <d v="2025-02-03T00:00:00"/>
        <d v="2025-02-04T00:00:00"/>
        <d v="2025-02-05T00:00:00"/>
        <d v="2025-02-06T00:00:00"/>
        <d v="2025-02-07T00:00:00"/>
        <d v="2025-02-08T00:00:00"/>
        <d v="2025-02-09T00:00:00"/>
        <d v="2025-02-10T00:00:00"/>
        <d v="2025-02-11T00:00:00"/>
        <d v="2025-02-12T00:00:00"/>
        <d v="2025-02-13T00:00:00"/>
        <d v="2025-02-14T00:00:00"/>
        <d v="2025-02-15T00:00:00"/>
        <d v="2025-02-17T00:00:00"/>
        <d v="2025-02-18T00:00:00"/>
        <d v="2025-02-19T00:00:00"/>
        <d v="2025-02-20T00:00:00"/>
        <d v="2025-02-21T00:00:00"/>
        <d v="2025-02-22T00:00:00"/>
        <d v="2025-02-23T00:00:00"/>
        <d v="2025-02-24T00:00:00"/>
        <d v="2025-02-25T00:00:00"/>
        <d v="2025-02-26T00:00:00"/>
        <d v="2025-02-27T00:00:00"/>
        <d v="2025-02-28T00:00:00"/>
      </sharedItems>
      <fieldGroup base="0">
        <rangePr groupBy="months" startDate="2025-01-02T00:00:00" endDate="2025-03-01T00:00:00"/>
        <groupItems count="14">
          <s v="&lt;02/01/2025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3/2025"/>
        </groupItems>
      </fieldGroup>
    </cacheField>
    <cacheField name="Details" numFmtId="0">
      <sharedItems/>
    </cacheField>
    <cacheField name="Type of expenses" numFmtId="0">
      <sharedItems/>
    </cacheField>
    <cacheField name="Department " numFmtId="0">
      <sharedItems containsBlank="1"/>
    </cacheField>
    <cacheField name="Spent  in XAF" numFmtId="0">
      <sharedItems containsString="0" containsBlank="1" containsNumber="1" minValue="560" maxValue="1311000" count="137">
        <n v="20000"/>
        <n v="21000"/>
        <n v="95000"/>
        <n v="88000"/>
        <n v="10000"/>
        <n v="16000"/>
        <n v="11000"/>
        <n v="25000"/>
        <n v="300000"/>
        <n v="500000"/>
        <n v="260000"/>
        <n v="150000"/>
        <n v="7000"/>
        <n v="100000"/>
        <n v="226000"/>
        <n v="22640"/>
        <n v="1860"/>
        <n v="80000"/>
        <n v="160000"/>
        <n v="32070"/>
        <n v="59466"/>
        <n v="70000"/>
        <n v="45000"/>
        <n v="60000"/>
        <n v="1000"/>
        <n v="245000"/>
        <n v="8100"/>
        <n v="9750"/>
        <n v="31000"/>
        <n v="35000"/>
        <n v="50000"/>
        <n v="5000"/>
        <n v="120000"/>
        <n v="8500"/>
        <n v="10100"/>
        <n v="90000"/>
        <n v="9600"/>
        <n v="8000"/>
        <n v="72000"/>
        <n v="19600"/>
        <n v="9700"/>
        <n v="6055"/>
        <n v="6720"/>
        <n v="176000"/>
        <n v="30000"/>
        <n v="12000"/>
        <n v="105000"/>
        <m/>
        <n v="12500"/>
        <n v="195000"/>
        <n v="24675"/>
        <n v="26000"/>
        <n v="154000"/>
        <n v="14500"/>
        <n v="3330"/>
        <n v="7500"/>
        <n v="21030"/>
        <n v="1311000"/>
        <n v="200000"/>
        <n v="551482"/>
        <n v="384789"/>
        <n v="336400"/>
        <n v="238140"/>
        <n v="6000"/>
        <n v="15000"/>
        <n v="13500"/>
        <n v="240000"/>
        <n v="3000"/>
        <n v="127070"/>
        <n v="17500"/>
        <n v="2000"/>
        <n v="62500"/>
        <n v="10665"/>
        <n v="75625"/>
        <n v="70200"/>
        <n v="2500"/>
        <n v="32000"/>
        <n v="39300"/>
        <n v="54800"/>
        <n v="63400"/>
        <n v="38500"/>
        <n v="33500"/>
        <n v="24500"/>
        <n v="148000"/>
        <n v="25500"/>
        <n v="174625"/>
        <n v="41000"/>
        <n v="45050"/>
        <n v="38000"/>
        <n v="255000"/>
        <n v="335000"/>
        <n v="400000"/>
        <n v="42000"/>
        <n v="74000"/>
        <n v="9000"/>
        <n v="63000"/>
        <n v="230000"/>
        <n v="190000"/>
        <n v="4500"/>
        <n v="4830.0000000000009"/>
        <n v="13615"/>
        <n v="4000"/>
        <n v="39500"/>
        <n v="4110"/>
        <n v="94430"/>
        <n v="170000"/>
        <n v="1980"/>
        <n v="129464"/>
        <n v="80500"/>
        <n v="227686"/>
        <n v="1952"/>
        <n v="55000"/>
        <n v="11310"/>
        <n v="180000"/>
        <n v="130000"/>
        <n v="14250"/>
        <n v="75000"/>
        <n v="14700"/>
        <n v="68000"/>
        <n v="10500"/>
        <n v="1500"/>
        <n v="210000"/>
        <n v="18000"/>
        <n v="5100"/>
        <n v="9800"/>
        <n v="10980"/>
        <n v="40100"/>
        <n v="29000"/>
        <n v="26900"/>
        <n v="560"/>
        <n v="14000"/>
        <n v="35500"/>
        <n v="182000"/>
        <n v="7020"/>
        <n v="66800"/>
        <n v="53700"/>
        <n v="66500"/>
      </sharedItems>
    </cacheField>
    <cacheField name="Spent in $" numFmtId="1">
      <sharedItems containsString="0" containsBlank="1" containsNumber="1" minValue="0.93929314835967548" maxValue="2198.9523526777402" count="195">
        <n v="35.074489446962986"/>
        <n v="36.828213919311132"/>
        <n v="166.60382487307419"/>
        <n v="154.32775356663714"/>
        <n v="17.537244723481493"/>
        <n v="28.059591557570389"/>
        <n v="19.290969195829643"/>
        <n v="43.843111808703732"/>
        <n v="526.11734170444481"/>
        <n v="838.65459674971032"/>
        <n v="436.10039030984933"/>
        <n v="251.59637902491309"/>
        <n v="12.276071306437045"/>
        <n v="175.37244723481493"/>
        <n v="396.34173075068173"/>
        <n v="39.704322053962102"/>
        <n v="3.2619275185675578"/>
        <n v="140.29795778785194"/>
        <n v="280.59591557570388"/>
        <n v="56.241943828205144"/>
        <n v="263.05867085222241"/>
        <n v="104.28697947265505"/>
        <n v="122.76071306437045"/>
        <n v="78.917601255666725"/>
        <n v="105.22346834088896"/>
        <n v="1.7537244723481493"/>
        <n v="429.66249572529659"/>
        <n v="14.205168226020009"/>
        <n v="17.098813605394454"/>
        <n v="54.365458642792625"/>
        <n v="61.380356532185225"/>
        <n v="87.686223617407464"/>
        <n v="8.7686223617407464"/>
        <n v="210.44693668177791"/>
        <n v="14.90665801495927"/>
        <n v="17.712617170716307"/>
        <n v="157.83520251133345"/>
        <n v="16.835754934542233"/>
        <n v="14.029795778785195"/>
        <n v="126.26816200906674"/>
        <n v="34.372999658023723"/>
        <n v="17.011127381777047"/>
        <n v="10.618801680068044"/>
        <n v="11.785028454179564"/>
        <n v="308.65550713327428"/>
        <n v="52.611734170444478"/>
        <n v="21.044693668177793"/>
        <n v="184.14106959655567"/>
        <m/>
        <n v="50.319275804982617"/>
        <n v="20.966364918742755"/>
        <n v="327.07529273238703"/>
        <n v="33.546183869988411"/>
        <n v="11.741164354495943"/>
        <n v="43.273151355190585"/>
        <n v="43.610039030984936"/>
        <n v="258.30561579891076"/>
        <n v="134.18473547995364"/>
        <n v="24.320983305741599"/>
        <n v="5.5854396143530707"/>
        <n v="12.579818951245654"/>
        <n v="35.22349306348783"/>
        <n v="35.273812339292817"/>
        <n v="2198.9523526777402"/>
        <n v="335.46183869988408"/>
        <n v="925.00582864944738"/>
        <n v="645.41012725744849"/>
        <n v="564.24681269320502"/>
        <n v="399.43441133995202"/>
        <n v="8.3865459674971028"/>
        <n v="10.063855160996523"/>
        <n v="25.159637902491308"/>
        <n v="13.418473547995363"/>
        <n v="22.643674112242177"/>
        <n v="402.55420643986093"/>
        <n v="100.63855160996523"/>
        <n v="5.0319275804982615"/>
        <n v="213.13567921797136"/>
        <n v="30.690178266092612"/>
        <n v="10.522346834088896"/>
        <n v="3.3546183869988409"/>
        <n v="104.83182459371379"/>
        <n v="17.888502548671319"/>
        <n v="126.84650775839368"/>
        <n v="123.11145795884008"/>
        <n v="4.1932729837485514"/>
        <n v="56.119183115140778"/>
        <n v="65.918251304527232"/>
        <n v="91.916543803768249"/>
        <n v="106.34140286786327"/>
        <n v="64.576403949727691"/>
        <n v="56.189857982230585"/>
        <n v="41.094075240735805"/>
        <n v="248.24176063791424"/>
        <n v="42.771384434235223"/>
        <n v="292.9001179148363"/>
        <n v="68.769676933476248"/>
        <n v="75.562779167148889"/>
        <n v="63.737749352977978"/>
        <n v="83.865459674971021"/>
        <n v="427.71384434235222"/>
        <n v="561.89857982230592"/>
        <n v="670.92367739976817"/>
        <n v="70.446986126975659"/>
        <n v="124.12088031895712"/>
        <n v="147.60320902794902"/>
        <n v="16.773091934994206"/>
        <n v="26.836947095990727"/>
        <n v="18.450401128493628"/>
        <n v="117.41164354495943"/>
        <n v="15.095782741494785"/>
        <n v="41.93272983748551"/>
        <n v="105.6704791904635"/>
        <n v="385.78111450486671"/>
        <n v="318.68874676488991"/>
        <n v="7.5478913707473927"/>
        <n v="8.1014034046022019"/>
        <n v="22.180704562790044"/>
        <n v="6.7092367739976817"/>
        <n v="66.253713143227117"/>
        <n v="6.8937407852826187"/>
        <n v="158.38830714215027"/>
        <n v="58.705821772479716"/>
        <n v="75.478913707473922"/>
        <n v="4.8874119492008914"/>
        <n v="11.403961214802081"/>
        <n v="11.271517780316106"/>
        <n v="285.14256289490152"/>
        <n v="3.3210722031288529"/>
        <n v="217.15115742720897"/>
        <n v="135.02339007670335"/>
        <n v="32.582746328005946"/>
        <n v="250.88714672564575"/>
        <n v="381.89982103110907"/>
        <n v="3.2741075457108688"/>
        <n v="48.874119492008916"/>
        <n v="94.950186542589222"/>
        <n v="16.291373164002973"/>
        <n v="8.1456865820014865"/>
        <n v="18.425543048487359"/>
        <n v="6.5165492656011885"/>
        <n v="162.91373164002971"/>
        <n v="293.24471695205347"/>
        <n v="114.03961214802079"/>
        <n v="276.95334378805052"/>
        <n v="73.311179238013366"/>
        <n v="211.78785113203864"/>
        <n v="24.437059746004458"/>
        <n v="14.662235847602675"/>
        <n v="3.3698684387478939"/>
        <n v="23.215206758704234"/>
        <n v="122.18529873002228"/>
        <n v="23.94831855108437"/>
        <n v="171.05941822203121"/>
        <n v="110.7813375152202"/>
        <n v="17.105941822203121"/>
        <n v="2.4437059746004457"/>
        <n v="342.11883644406242"/>
        <n v="81.456865820014855"/>
        <n v="13.033098531202377"/>
        <n v="29.32447169520535"/>
        <n v="40.728432910007427"/>
        <n v="8.3086003136415147"/>
        <n v="13.196012262842407"/>
        <n v="15.965545700722911"/>
        <n v="244.37059746004456"/>
        <n v="181.26853794494306"/>
        <n v="241.11232282724399"/>
        <n v="17.887927734075262"/>
        <n v="65.32840638765191"/>
        <n v="6.9054681121883075"/>
        <n v="34.527340560941539"/>
        <n v="50.06464381336523"/>
        <n v="46.439273054466369"/>
        <n v="0.93929314835967548"/>
        <n v="68.191497607859532"/>
        <n v="24.169138392659075"/>
        <n v="61.286029495671229"/>
        <n v="10.35820216828246"/>
        <n v="77.772834613520814"/>
        <n v="314.19879910456797"/>
        <n v="18.126853794494306"/>
        <n v="12.119096536890479"/>
        <n v="130.55650649606019"/>
        <n v="103.5820216828246"/>
        <n v="115.32131747354472"/>
        <n v="92.705909406128029"/>
        <n v="51.791010841412302"/>
        <n v="12.084569196329538"/>
        <n v="114.80340736513061"/>
        <n v="42.598106417061622"/>
        <n v="31.074606504847381"/>
        <n v="77.68651626211846"/>
        <n v="57.833295439577071"/>
        <n v="345.27340560941536"/>
      </sharedItems>
    </cacheField>
    <cacheField name="Exchange Rate $" numFmtId="0">
      <sharedItems containsSemiMixedTypes="0" containsString="0" containsNumber="1" minValue="570.21500000000003" maxValue="613.82180000000005"/>
    </cacheField>
    <cacheField name="Name" numFmtId="0">
      <sharedItems/>
    </cacheField>
    <cacheField name="Receipt" numFmtId="0">
      <sharedItems/>
    </cacheField>
    <cacheField name="Project" numFmtId="0">
      <sharedItems/>
    </cacheField>
    <cacheField name="Donor" numFmtId="0">
      <sharedItems count="3">
        <s v="Wildcat"/>
        <s v="Rufford"/>
        <s v="OAK"/>
      </sharedItems>
    </cacheField>
    <cacheField name="Country" numFmtId="0">
      <sharedItems/>
    </cacheField>
    <cacheField name="Receved in XAF" numFmtId="0">
      <sharedItems containsString="0" containsBlank="1" containsNumber="1" containsInteger="1" minValue="17885797" maxValue="17885797" count="2">
        <m/>
        <n v="17885797"/>
      </sharedItems>
    </cacheField>
    <cacheField name="Receved  $" numFmtId="0">
      <sharedItems containsString="0" containsBlank="1" containsNumber="1" containsInteger="1" minValue="30000" maxValue="30000" count="2">
        <m/>
        <n v="30000"/>
      </sharedItems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2">
  <r>
    <d v="2025-02-01T00:00:00"/>
    <s v="Report au 01/2/2025"/>
    <m/>
    <m/>
    <x v="0"/>
    <x v="0"/>
    <n v="557825"/>
    <x v="0"/>
    <m/>
    <m/>
  </r>
  <r>
    <d v="2025-02-03T00:00:00"/>
    <s v="Achat credit  teléphonique MTN/PALF/Première partie du mois de Février 2025/Management"/>
    <s v="Management"/>
    <s v="Telephone"/>
    <x v="1"/>
    <x v="0"/>
    <n v="515825"/>
    <x v="1"/>
    <s v="CA-F-R1"/>
    <m/>
  </r>
  <r>
    <d v="2025-02-03T00:00:00"/>
    <s v="Achat credit  teléphonique MTN/PALF/Première partie du mois de Février 2025/Legal"/>
    <s v="Legal"/>
    <s v="Telephone"/>
    <x v="2"/>
    <x v="0"/>
    <n v="441825"/>
    <x v="1"/>
    <s v="CA-F-R2"/>
    <m/>
  </r>
  <r>
    <d v="2025-02-03T00:00:00"/>
    <s v="Achat credit  teléphonique MTN/PALF/Première partie du mois de Février 2025/Investigation"/>
    <s v="Investigation"/>
    <s v="Telephone"/>
    <x v="3"/>
    <x v="0"/>
    <n v="353825"/>
    <x v="1"/>
    <s v="CA-F-R3"/>
    <m/>
  </r>
  <r>
    <d v="2025-02-03T00:00:00"/>
    <s v="Achat credit  teléphonique MTN/PALF/Première partie du mois de Février 2025/Media"/>
    <s v="Media"/>
    <s v="Telephone"/>
    <x v="4"/>
    <x v="0"/>
    <n v="343825"/>
    <x v="1"/>
    <s v="CA-F-R4"/>
    <m/>
  </r>
  <r>
    <d v="2025-02-03T00:00:00"/>
    <s v="Achat credit  teléphonique Airtel/PALF/Première partie du mois de Février 2025/Legal"/>
    <s v="Legal"/>
    <s v="Telephone"/>
    <x v="4"/>
    <x v="0"/>
    <n v="333825"/>
    <x v="1"/>
    <s v="CA-F-R5"/>
    <m/>
  </r>
  <r>
    <d v="2025-02-03T00:00:00"/>
    <s v="Achat credit  teléphonique Airtel/PALF/Première partie du mois de Février 2025/Investigation"/>
    <s v="Investigation"/>
    <s v="Telephone"/>
    <x v="5"/>
    <x v="0"/>
    <n v="317825"/>
    <x v="1"/>
    <s v="CA-F-R6"/>
    <m/>
  </r>
  <r>
    <d v="2025-02-03T00:00:00"/>
    <s v="Achat credit  teléphonique Airtel/PALF/Première partie du mois de Février 2025/Media"/>
    <s v="Media"/>
    <s v="Telephone"/>
    <x v="6"/>
    <x v="0"/>
    <n v="306825"/>
    <x v="1"/>
    <s v="CA-F-R7"/>
    <m/>
  </r>
  <r>
    <d v="2025-02-04T00:00:00"/>
    <s v="Roderlin"/>
    <m/>
    <s v="Versement"/>
    <x v="7"/>
    <x v="0"/>
    <n v="222825"/>
    <x v="2"/>
    <s v="CA-F-V1"/>
    <m/>
  </r>
  <r>
    <d v="2025-02-04T00:00:00"/>
    <s v="Romain"/>
    <m/>
    <s v="Versement"/>
    <x v="8"/>
    <x v="0"/>
    <n v="152825"/>
    <x v="3"/>
    <s v="CA-F-V2"/>
    <m/>
  </r>
  <r>
    <d v="2025-02-04T00:00:00"/>
    <s v="P29"/>
    <m/>
    <s v="Versement"/>
    <x v="9"/>
    <x v="0"/>
    <n v="112825"/>
    <x v="4"/>
    <s v="CA-F-V3"/>
    <m/>
  </r>
  <r>
    <d v="2025-02-04T00:00:00"/>
    <s v="IT87"/>
    <m/>
    <s v="Versement"/>
    <x v="9"/>
    <x v="0"/>
    <n v="72825"/>
    <x v="5"/>
    <s v="CA-F-V4"/>
    <m/>
  </r>
  <r>
    <d v="2025-02-04T00:00:00"/>
    <s v="Frais de mission maitre Alain BANZOUZI du 05 au 07 Février 2025 à Owando suivi audience"/>
    <s v="Legal"/>
    <s v="Lawyer fees"/>
    <x v="8"/>
    <x v="0"/>
    <n v="2825"/>
    <x v="3"/>
    <s v="CA-F-R8"/>
    <m/>
  </r>
  <r>
    <d v="2025-02-05T00:00:00"/>
    <s v="BCI3654786"/>
    <m/>
    <s v="Versement"/>
    <x v="0"/>
    <x v="1"/>
    <n v="2002825"/>
    <x v="6"/>
    <s v="CA-F-V5"/>
    <m/>
  </r>
  <r>
    <d v="2025-02-05T00:00:00"/>
    <s v="T73"/>
    <m/>
    <s v="Versement"/>
    <x v="10"/>
    <x v="0"/>
    <n v="1902825"/>
    <x v="7"/>
    <s v="CA-F-V6"/>
    <m/>
  </r>
  <r>
    <d v="2025-02-05T00:00:00"/>
    <s v="Achat eau mineral 16 LITRES/Bureau"/>
    <s v="Office"/>
    <s v="Office Materiels"/>
    <x v="11"/>
    <x v="0"/>
    <n v="1877825"/>
    <x v="1"/>
    <s v="CA-F-R9"/>
    <m/>
  </r>
  <r>
    <d v="2025-02-05T00:00:00"/>
    <s v="Achat produit d'entretien lait,sucre,javel,papier toilette,sucre,café/Bureau PALF"/>
    <s v="Office"/>
    <s v="Office Materiels"/>
    <x v="12"/>
    <x v="0"/>
    <n v="1814825"/>
    <x v="1"/>
    <s v="CA-F-R10"/>
    <m/>
  </r>
  <r>
    <d v="2025-02-07T00:00:00"/>
    <s v="IT87"/>
    <m/>
    <s v="Versement"/>
    <x v="13"/>
    <x v="0"/>
    <n v="1616825"/>
    <x v="5"/>
    <s v="CA-F-V7"/>
    <m/>
  </r>
  <r>
    <d v="2025-02-07T00:00:00"/>
    <s v="P29"/>
    <m/>
    <s v="Versement"/>
    <x v="14"/>
    <x v="0"/>
    <n v="1425825"/>
    <x v="4"/>
    <s v="CA-F-V8"/>
    <m/>
  </r>
  <r>
    <d v="2025-02-07T00:00:00"/>
    <s v="Bonus media portant sur l'audience du 06 Février au TG1 d'Owando"/>
    <s v="Media"/>
    <s v="Bonus to media office"/>
    <x v="15"/>
    <x v="0"/>
    <n v="1277825"/>
    <x v="8"/>
    <s v="CA-F-D1"/>
    <m/>
  </r>
  <r>
    <d v="2025-02-07T00:00:00"/>
    <s v="T73"/>
    <m/>
    <s v="Versement"/>
    <x v="16"/>
    <x v="0"/>
    <n v="1139825"/>
    <x v="7"/>
    <s v="CA-F-V9"/>
    <m/>
  </r>
  <r>
    <d v="2025-02-08T00:00:00"/>
    <s v="Frais de transfert d'argent à T73"/>
    <s v="Office"/>
    <s v="Transfert fees"/>
    <x v="17"/>
    <x v="0"/>
    <n v="1134995"/>
    <x v="9"/>
    <s v="CA-F-R11"/>
    <m/>
  </r>
  <r>
    <d v="2025-02-08T00:00:00"/>
    <s v="G12"/>
    <m/>
    <s v="Versement"/>
    <x v="10"/>
    <x v="0"/>
    <n v="1034995"/>
    <x v="10"/>
    <s v="CA-F-V10"/>
    <m/>
  </r>
  <r>
    <d v="2025-02-10T00:00:00"/>
    <s v="G12"/>
    <m/>
    <s v="Versement"/>
    <x v="18"/>
    <x v="0"/>
    <n v="897995"/>
    <x v="10"/>
    <s v="CA-F-V11"/>
    <m/>
  </r>
  <r>
    <d v="2025-02-11T00:00:00"/>
    <s v="Frais de transfert d'argent à G12"/>
    <s v="Office"/>
    <s v="Transfert fees"/>
    <x v="19"/>
    <x v="0"/>
    <n v="893885"/>
    <x v="2"/>
    <s v="CA-F-R12"/>
    <m/>
  </r>
  <r>
    <d v="2025-02-11T00:00:00"/>
    <s v="Abraham"/>
    <m/>
    <s v="Versement"/>
    <x v="7"/>
    <x v="0"/>
    <n v="809885"/>
    <x v="9"/>
    <s v="CA-F-V12"/>
    <m/>
  </r>
  <r>
    <d v="2025-02-11T00:00:00"/>
    <s v="Frais de mission maitre Marie Helène NANITELAMION du 12 au 14 Février 2025 à Owando suivi audience"/>
    <s v="Legal"/>
    <s v="Lawyer fees"/>
    <x v="8"/>
    <x v="0"/>
    <n v="739885"/>
    <x v="9"/>
    <s v="CA-F-R13"/>
    <m/>
  </r>
  <r>
    <d v="2025-02-11T00:00:00"/>
    <s v="P29"/>
    <m/>
    <s v="Versement"/>
    <x v="20"/>
    <x v="0"/>
    <n v="515885"/>
    <x v="4"/>
    <s v="CA-F-V13"/>
    <m/>
  </r>
  <r>
    <d v="2025-02-11T00:00:00"/>
    <s v="Frais de transfert d'argent à P29"/>
    <s v="Office"/>
    <s v="Transfert fees"/>
    <x v="21"/>
    <x v="0"/>
    <n v="509165"/>
    <x v="2"/>
    <s v="CA-F-R14"/>
    <m/>
  </r>
  <r>
    <d v="2025-02-11T00:00:00"/>
    <s v="Bonus du mois de Janvier 2025/Merveille"/>
    <s v="Legal"/>
    <s v="Personnel"/>
    <x v="22"/>
    <x v="0"/>
    <n v="414735"/>
    <x v="1"/>
    <s v="CA-F-D2"/>
    <m/>
  </r>
  <r>
    <d v="2025-02-11T00:00:00"/>
    <s v="Bonus du mois de Janvier 2025/Crepin"/>
    <s v="Legal"/>
    <s v="Personnel"/>
    <x v="23"/>
    <x v="0"/>
    <n v="384735"/>
    <x v="1"/>
    <s v="CA-F-D3"/>
    <m/>
  </r>
  <r>
    <d v="2025-02-11T00:00:00"/>
    <s v="Bonus du mois de Janvier 2025/Romain"/>
    <s v="Legal"/>
    <s v="Personnel"/>
    <x v="23"/>
    <x v="0"/>
    <n v="354735"/>
    <x v="1"/>
    <s v="CA-F-D4"/>
    <m/>
  </r>
  <r>
    <d v="2025-02-11T00:00:00"/>
    <s v="Bonus du mois de Janvier 2025/Abraham"/>
    <s v="Legal"/>
    <s v="Personnel"/>
    <x v="23"/>
    <x v="0"/>
    <n v="324735"/>
    <x v="1"/>
    <s v="CA-F-D5"/>
    <m/>
  </r>
  <r>
    <d v="2025-02-11T00:00:00"/>
    <s v="Bonus du mois de Janvier 2025/Roderlin"/>
    <s v="Legal"/>
    <s v="Personnel"/>
    <x v="23"/>
    <x v="0"/>
    <n v="294735"/>
    <x v="1"/>
    <s v="CA-F-D6"/>
    <m/>
  </r>
  <r>
    <d v="2025-02-11T00:00:00"/>
    <s v="Bonus du mois de Janvier 2025/Evariste"/>
    <s v="Media"/>
    <s v="Personnel"/>
    <x v="23"/>
    <x v="0"/>
    <n v="264735"/>
    <x v="1"/>
    <s v="CA-F-D7"/>
    <m/>
  </r>
  <r>
    <d v="2025-02-11T00:00:00"/>
    <s v="Bonus opération du 15/01/2025 à Owando/Crepin"/>
    <s v="Operation"/>
    <s v="Bonus"/>
    <x v="24"/>
    <x v="0"/>
    <n v="229735"/>
    <x v="1"/>
    <s v="CA-F-D8"/>
    <m/>
  </r>
  <r>
    <d v="2025-02-11T00:00:00"/>
    <s v="Bonus opération du 15/01/2025 à Owando/Romain"/>
    <s v="Operation"/>
    <s v="Bonus"/>
    <x v="23"/>
    <x v="0"/>
    <n v="199735"/>
    <x v="1"/>
    <s v="CA-F-D9"/>
    <m/>
  </r>
  <r>
    <d v="2025-02-11T00:00:00"/>
    <s v="Bonus opération du 15/01/2025 à Owando/Abraham"/>
    <s v="Operation"/>
    <s v="Bonus"/>
    <x v="23"/>
    <x v="0"/>
    <n v="169735"/>
    <x v="1"/>
    <s v="CA-F-D10"/>
    <m/>
  </r>
  <r>
    <d v="2025-02-11T00:00:00"/>
    <s v="Bonus opération du 15/01/2025 à Owando/Evariste"/>
    <s v="Operation"/>
    <s v="Bonus"/>
    <x v="23"/>
    <x v="0"/>
    <n v="139735"/>
    <x v="1"/>
    <s v="CA-F-D11"/>
    <m/>
  </r>
  <r>
    <d v="2025-02-11T00:00:00"/>
    <s v="BCI3654801"/>
    <m/>
    <s v="Versement"/>
    <x v="0"/>
    <x v="1"/>
    <n v="2139735"/>
    <x v="6"/>
    <s v="CA-F-V14"/>
    <m/>
  </r>
  <r>
    <d v="2025-02-12T00:00:00"/>
    <s v="T73"/>
    <m/>
    <s v="Versement"/>
    <x v="25"/>
    <x v="0"/>
    <n v="2040735"/>
    <x v="7"/>
    <s v="CA-F-V15"/>
    <m/>
  </r>
  <r>
    <d v="2025-02-12T00:00:00"/>
    <s v="Frais de transfert d'argent à T73"/>
    <s v="Office"/>
    <s v="Transfert fees"/>
    <x v="26"/>
    <x v="0"/>
    <n v="2038755"/>
    <x v="2"/>
    <s v="CA-F-R15"/>
    <m/>
  </r>
  <r>
    <d v="2025-02-12T00:00:00"/>
    <s v="Roderlin"/>
    <m/>
    <s v="Versement"/>
    <x v="27"/>
    <x v="0"/>
    <n v="1940755"/>
    <x v="2"/>
    <s v="CA-F-V16"/>
    <m/>
  </r>
  <r>
    <d v="2025-02-12T00:00:00"/>
    <s v="Frais de mission maitre Alain BANZOUZI du 13 au 15 Février 2025 à Sibiti/suivi audience"/>
    <s v="Legal"/>
    <s v="Lawyer fees"/>
    <x v="28"/>
    <x v="0"/>
    <n v="1860755"/>
    <x v="2"/>
    <s v="CA-F-R16"/>
    <m/>
  </r>
  <r>
    <d v="2025-02-13T00:00:00"/>
    <s v="Bonus media portant sur la journée mondiale du Pangolin"/>
    <s v="Media"/>
    <s v="Bonus to media office"/>
    <x v="29"/>
    <x v="0"/>
    <n v="1706755"/>
    <x v="8"/>
    <s v="CA-F-D12"/>
    <m/>
  </r>
  <r>
    <d v="2025-02-13T00:00:00"/>
    <s v="Paiment assurance DOVI"/>
    <s v="Management"/>
    <s v="Personnel"/>
    <x v="30"/>
    <x v="0"/>
    <n v="1577291"/>
    <x v="1"/>
    <s v="CA-F-R17"/>
    <m/>
  </r>
  <r>
    <d v="2025-02-13T00:00:00"/>
    <s v="Paiment assurance DOVI"/>
    <s v="Management"/>
    <s v="Personnel"/>
    <x v="31"/>
    <x v="0"/>
    <n v="1496791"/>
    <x v="1"/>
    <s v="CA-F-R18"/>
    <m/>
  </r>
  <r>
    <d v="2025-02-13T00:00:00"/>
    <s v="Evariste"/>
    <m/>
    <s v="Versement"/>
    <x v="32"/>
    <x v="0"/>
    <n v="1476791"/>
    <x v="8"/>
    <s v="CA-F-V17"/>
    <m/>
  </r>
  <r>
    <d v="2025-02-14T00:00:00"/>
    <s v="Parfaite"/>
    <m/>
    <s v="Versement"/>
    <x v="32"/>
    <x v="0"/>
    <n v="1456791"/>
    <x v="11"/>
    <s v="CA-F-V18"/>
    <m/>
  </r>
  <r>
    <d v="2025-02-14T00:00:00"/>
    <s v="Merveille"/>
    <m/>
    <s v="Versement"/>
    <x v="32"/>
    <x v="0"/>
    <n v="1436791"/>
    <x v="1"/>
    <s v="CA-F-V19"/>
    <m/>
  </r>
  <r>
    <d v="2025-02-14T00:00:00"/>
    <s v="Bonus à un informateur en RDC"/>
    <m/>
    <s v="Versement"/>
    <x v="33"/>
    <x v="0"/>
    <n v="1404839"/>
    <x v="12"/>
    <s v="CA-F-V20"/>
    <m/>
  </r>
  <r>
    <d v="2025-02-14T00:00:00"/>
    <s v="DOVI"/>
    <m/>
    <s v="Versement"/>
    <x v="34"/>
    <x v="0"/>
    <n v="1270839"/>
    <x v="12"/>
    <s v="CA-F-V21"/>
    <m/>
  </r>
  <r>
    <d v="2025-02-14T00:00:00"/>
    <s v="Evariste"/>
    <m/>
    <s v="Versement"/>
    <x v="34"/>
    <x v="0"/>
    <n v="1136839"/>
    <x v="8"/>
    <s v="CA-F-V22"/>
    <m/>
  </r>
  <r>
    <d v="2025-02-14T00:00:00"/>
    <s v="Abraham"/>
    <m/>
    <s v="Versement"/>
    <x v="35"/>
    <x v="0"/>
    <n v="1001839"/>
    <x v="9"/>
    <s v="CA-F-V23"/>
    <m/>
  </r>
  <r>
    <d v="2025-02-14T00:00:00"/>
    <s v="T73"/>
    <m/>
    <s v="Versement"/>
    <x v="7"/>
    <x v="0"/>
    <n v="917839"/>
    <x v="7"/>
    <s v="CA-F-V24"/>
    <m/>
  </r>
  <r>
    <d v="2025-02-14T00:00:00"/>
    <s v="P29"/>
    <m/>
    <s v="Versement"/>
    <x v="36"/>
    <x v="0"/>
    <n v="759839"/>
    <x v="4"/>
    <s v="CA-F-V25"/>
    <m/>
  </r>
  <r>
    <d v="2025-02-14T00:00:00"/>
    <s v="Frais de transfert d'argent à T73,P29 et Abraham"/>
    <s v="Office"/>
    <s v="Transfert fees"/>
    <x v="37"/>
    <x v="0"/>
    <n v="748529"/>
    <x v="11"/>
    <s v="CA-F-R19"/>
    <m/>
  </r>
  <r>
    <d v="2025-02-14T00:00:00"/>
    <s v="Achat credit  teléphonique MTN/PALF/Deuxième partie du mois de Février 2025/Management"/>
    <s v="Management"/>
    <s v="Telephone"/>
    <x v="23"/>
    <x v="0"/>
    <n v="718529"/>
    <x v="1"/>
    <s v="CA-F-R20"/>
    <m/>
  </r>
  <r>
    <d v="2025-02-14T00:00:00"/>
    <s v="Achat credit  teléphonique MTN/PALF/Deuxième partie du mois de Février 2025/Legal"/>
    <s v="Legal"/>
    <s v="Telephone"/>
    <x v="23"/>
    <x v="0"/>
    <n v="688529"/>
    <x v="1"/>
    <s v="CA-F-R21"/>
    <m/>
  </r>
  <r>
    <d v="2025-02-14T00:00:00"/>
    <s v="Achat credit  teléphonique MTN/PALF/Deuxième partie du mois de Février 2025/Investigation"/>
    <s v="Investigation"/>
    <s v="Telephone"/>
    <x v="38"/>
    <x v="0"/>
    <n v="633529"/>
    <x v="1"/>
    <s v="CA-F-R22"/>
    <m/>
  </r>
  <r>
    <d v="2025-02-14T00:00:00"/>
    <s v="Achat credit  teléphonique MTN/PALF/Deuxième partie du mois de Février 2025/Media"/>
    <s v="Media"/>
    <s v="Telephone"/>
    <x v="4"/>
    <x v="0"/>
    <n v="623529"/>
    <x v="1"/>
    <s v="CA-F-R23"/>
    <m/>
  </r>
  <r>
    <d v="2025-02-14T00:00:00"/>
    <s v="Achat credit  teléphonique MTN/PALF/Deuxième partie du mois de Février 2025/Media"/>
    <s v="Legal"/>
    <s v="Telephone"/>
    <x v="4"/>
    <x v="0"/>
    <n v="613529"/>
    <x v="1"/>
    <s v="CA-F-R24"/>
    <m/>
  </r>
  <r>
    <d v="2025-02-14T00:00:00"/>
    <s v="Achat credit  teléphonique Airtel/PALF/Deuxième partie du mois de Février 2025/Legal"/>
    <s v="Investigation"/>
    <s v="Telephone"/>
    <x v="39"/>
    <x v="0"/>
    <n v="608529"/>
    <x v="1"/>
    <s v="CA-F-R25"/>
    <m/>
  </r>
  <r>
    <d v="2025-02-14T00:00:00"/>
    <s v="Crepin"/>
    <m/>
    <s v="Versement"/>
    <x v="34"/>
    <x v="0"/>
    <n v="474529"/>
    <x v="13"/>
    <s v="CA-F-V26"/>
    <m/>
  </r>
  <r>
    <d v="2025-02-14T00:00:00"/>
    <s v="Romain"/>
    <m/>
    <s v="Versement"/>
    <x v="40"/>
    <x v="0"/>
    <n v="275529"/>
    <x v="3"/>
    <s v="CA-F-V27"/>
    <m/>
  </r>
  <r>
    <d v="2025-02-14T00:00:00"/>
    <s v="IT87"/>
    <m/>
    <s v="Versement"/>
    <x v="41"/>
    <x v="0"/>
    <n v="45529"/>
    <x v="5"/>
    <s v="CA-F-V28"/>
    <m/>
  </r>
  <r>
    <d v="2025-02-17T00:00:00"/>
    <s v="BCI3654802"/>
    <m/>
    <s v="Versement"/>
    <x v="0"/>
    <x v="1"/>
    <n v="2045529"/>
    <x v="6"/>
    <s v="CA-F-V29"/>
    <m/>
  </r>
  <r>
    <d v="2025-02-17T00:00:00"/>
    <s v="Achat credit téléphonique pour P29/Appel trust à l'international"/>
    <s v="Investigation"/>
    <s v="Telephone"/>
    <x v="42"/>
    <x v="0"/>
    <n v="2030529"/>
    <x v="1"/>
    <s v="CA-F-R26"/>
    <m/>
  </r>
  <r>
    <d v="2025-02-18T00:00:00"/>
    <s v="Crepin"/>
    <m/>
    <s v="Versement"/>
    <x v="43"/>
    <x v="0"/>
    <n v="1730529"/>
    <x v="13"/>
    <s v="CA-F-V30"/>
    <m/>
  </r>
  <r>
    <d v="2025-02-18T00:00:00"/>
    <s v="Frais de transfert d'argent à Crepin"/>
    <s v="Office"/>
    <s v="Transfert fees"/>
    <x v="44"/>
    <x v="0"/>
    <n v="1721529"/>
    <x v="11"/>
    <s v="CA-F-R27"/>
    <m/>
  </r>
  <r>
    <d v="2025-02-18T00:00:00"/>
    <s v="Frais de mission maitre BANZOUZI à Owando du 19 au 21/02/205 suivi audience cas MONICK"/>
    <s v="Legal"/>
    <s v="Lawyer fees"/>
    <x v="8"/>
    <x v="0"/>
    <n v="1651529"/>
    <x v="2"/>
    <s v="CA-F-R28"/>
    <m/>
  </r>
  <r>
    <d v="2025-02-19T00:00:00"/>
    <s v="Abraham"/>
    <m/>
    <s v="Versement"/>
    <x v="45"/>
    <x v="0"/>
    <n v="1576529"/>
    <x v="9"/>
    <s v="CA-F-V31"/>
    <m/>
  </r>
  <r>
    <d v="2025-02-19T00:00:00"/>
    <s v="Crepin"/>
    <m/>
    <s v="Versement"/>
    <x v="45"/>
    <x v="0"/>
    <n v="1501529"/>
    <x v="13"/>
    <s v="CA-F-V32"/>
    <m/>
  </r>
  <r>
    <d v="2025-02-19T00:00:00"/>
    <s v="Romain"/>
    <m/>
    <s v="Versement"/>
    <x v="45"/>
    <x v="0"/>
    <n v="1426529"/>
    <x v="3"/>
    <s v="CA-F-V33"/>
    <m/>
  </r>
  <r>
    <d v="2025-02-19T00:00:00"/>
    <s v="Evariste"/>
    <m/>
    <s v="Versement"/>
    <x v="45"/>
    <x v="0"/>
    <n v="1351529"/>
    <x v="8"/>
    <s v="CA-F-V34"/>
    <m/>
  </r>
  <r>
    <d v="2025-02-19T00:00:00"/>
    <s v="DOVI"/>
    <m/>
    <s v="Versement"/>
    <x v="45"/>
    <x v="0"/>
    <n v="1276529"/>
    <x v="12"/>
    <s v="CA-F-V35"/>
    <m/>
  </r>
  <r>
    <d v="2025-02-19T00:00:00"/>
    <s v="P29"/>
    <m/>
    <s v="Versement"/>
    <x v="45"/>
    <x v="0"/>
    <n v="1201529"/>
    <x v="4"/>
    <s v="CA-F-V36"/>
    <m/>
  </r>
  <r>
    <d v="2025-02-19T00:00:00"/>
    <s v="T73"/>
    <m/>
    <s v="Versement"/>
    <x v="45"/>
    <x v="0"/>
    <n v="1126529"/>
    <x v="7"/>
    <s v="CA-F-V37"/>
    <m/>
  </r>
  <r>
    <d v="2025-02-19T00:00:00"/>
    <s v="Bonus à un informateur en RDC"/>
    <s v="Investigation"/>
    <s v="Trust building"/>
    <x v="23"/>
    <x v="0"/>
    <n v="1096529"/>
    <x v="1"/>
    <s v="CA-F-R29"/>
    <m/>
  </r>
  <r>
    <d v="2025-02-19T00:00:00"/>
    <s v="Frais de transfert bonus à informateur"/>
    <s v="Office"/>
    <s v="Transfert fees"/>
    <x v="46"/>
    <x v="0"/>
    <n v="1094577"/>
    <x v="1"/>
    <s v="CA-F-R30"/>
    <m/>
  </r>
  <r>
    <d v="2025-02-19T00:00:00"/>
    <s v="Frais de transfert d'argent à Abraham"/>
    <s v="Office"/>
    <s v="Transfert fees"/>
    <x v="47"/>
    <x v="0"/>
    <n v="1080327"/>
    <x v="11"/>
    <s v="CA-F-R31"/>
    <m/>
  </r>
  <r>
    <d v="2025-02-21T00:00:00"/>
    <s v="Frais de transfert d'argent"/>
    <s v="Office"/>
    <s v="Transfert fees"/>
    <x v="48"/>
    <x v="0"/>
    <n v="1066712"/>
    <x v="2"/>
    <s v="CA-F-R32"/>
    <m/>
  </r>
  <r>
    <d v="2025-02-21T00:00:00"/>
    <s v="P29"/>
    <m/>
    <s v="Versement"/>
    <x v="45"/>
    <x v="0"/>
    <n v="991712"/>
    <x v="4"/>
    <s v="CA-F-V38"/>
    <m/>
  </r>
  <r>
    <d v="2025-02-21T00:00:00"/>
    <s v="T73"/>
    <m/>
    <s v="Versement"/>
    <x v="25"/>
    <x v="0"/>
    <n v="892712"/>
    <x v="7"/>
    <s v="CA-F-V39"/>
    <m/>
  </r>
  <r>
    <d v="2025-02-21T00:00:00"/>
    <s v="Evariste"/>
    <m/>
    <s v="Versement"/>
    <x v="45"/>
    <x v="0"/>
    <n v="817712"/>
    <x v="8"/>
    <s v="CA-F-V40"/>
    <m/>
  </r>
  <r>
    <d v="2025-02-21T00:00:00"/>
    <s v="Crepin"/>
    <m/>
    <s v="Versement"/>
    <x v="45"/>
    <x v="0"/>
    <n v="742712"/>
    <x v="13"/>
    <s v="CA-F-V41"/>
    <m/>
  </r>
  <r>
    <d v="2025-02-21T00:00:00"/>
    <s v="DOVI"/>
    <m/>
    <s v="Versement"/>
    <x v="45"/>
    <x v="0"/>
    <n v="667712"/>
    <x v="12"/>
    <s v="CA-F-V42"/>
    <m/>
  </r>
  <r>
    <d v="2025-02-21T00:00:00"/>
    <s v="Abraham"/>
    <m/>
    <s v="Versement"/>
    <x v="45"/>
    <x v="0"/>
    <n v="592712"/>
    <x v="9"/>
    <s v="CA-F-V43"/>
    <m/>
  </r>
  <r>
    <d v="2025-02-21T00:00:00"/>
    <s v="Romain"/>
    <m/>
    <s v="Versement"/>
    <x v="45"/>
    <x v="0"/>
    <n v="517712"/>
    <x v="3"/>
    <s v="CA-F-V44"/>
    <m/>
  </r>
  <r>
    <d v="2025-02-21T00:00:00"/>
    <s v="Frais de transfert d'argent à T73,P29 et Abraham"/>
    <s v="Office"/>
    <s v="Transfert fees"/>
    <x v="49"/>
    <x v="0"/>
    <n v="503012"/>
    <x v="2"/>
    <s v="CA-F-R43"/>
    <m/>
  </r>
  <r>
    <d v="2025-02-23T00:00:00"/>
    <s v="DOVI/Retour caisse"/>
    <m/>
    <s v="Versement"/>
    <x v="0"/>
    <x v="2"/>
    <n v="573012"/>
    <x v="12"/>
    <s v="CA-F-V45"/>
    <m/>
  </r>
  <r>
    <d v="2025-02-23T00:00:00"/>
    <s v="P29"/>
    <m/>
    <s v="Versement"/>
    <x v="8"/>
    <x v="0"/>
    <n v="503012"/>
    <x v="4"/>
    <s v="CA-F-V46"/>
    <m/>
  </r>
  <r>
    <d v="2025-02-23T00:00:00"/>
    <s v="Crepin/Retour caisse"/>
    <m/>
    <s v="Versement"/>
    <x v="0"/>
    <x v="3"/>
    <n v="803012"/>
    <x v="13"/>
    <s v="CA-F-V47"/>
    <m/>
  </r>
  <r>
    <d v="2025-02-23T00:00:00"/>
    <s v="T73"/>
    <m/>
    <s v="Versement"/>
    <x v="43"/>
    <x v="0"/>
    <n v="503012"/>
    <x v="7"/>
    <s v="CA-F-V48"/>
    <m/>
  </r>
  <r>
    <d v="2025-02-24T00:00:00"/>
    <s v="DOVI"/>
    <m/>
    <s v="Versement"/>
    <x v="8"/>
    <x v="0"/>
    <n v="433012"/>
    <x v="12"/>
    <s v="CA-F-V49"/>
    <m/>
  </r>
  <r>
    <d v="2025-02-24T00:00:00"/>
    <s v="Crepin"/>
    <m/>
    <s v="Versement"/>
    <x v="50"/>
    <x v="0"/>
    <n v="233012"/>
    <x v="13"/>
    <s v="CA-F-V50"/>
    <m/>
  </r>
  <r>
    <d v="2025-02-24T00:00:00"/>
    <s v="Frais de transfert charden farell à Abraham"/>
    <s v="Office"/>
    <s v="Transfert fees"/>
    <x v="51"/>
    <x v="0"/>
    <n v="224912"/>
    <x v="2"/>
    <s v="CA-F-R33"/>
    <m/>
  </r>
  <r>
    <d v="2025-02-24T00:00:00"/>
    <s v="Achat credit téléphonique pour le coordinateur"/>
    <s v="Management"/>
    <s v="Telephone"/>
    <x v="39"/>
    <x v="0"/>
    <n v="219912"/>
    <x v="1"/>
    <s v="CA-F-R34"/>
    <m/>
  </r>
  <r>
    <d v="2025-02-24T00:00:00"/>
    <s v="T73/retour caisse"/>
    <m/>
    <s v="Versement"/>
    <x v="0"/>
    <x v="4"/>
    <n v="369912"/>
    <x v="7"/>
    <s v="CA-F-V51"/>
    <m/>
  </r>
  <r>
    <d v="2025-02-24T00:00:00"/>
    <s v="P29"/>
    <m/>
    <s v="Versement"/>
    <x v="52"/>
    <x v="0"/>
    <n v="219912"/>
    <x v="4"/>
    <s v="CA-F-V52"/>
    <m/>
  </r>
  <r>
    <d v="2025-02-25T00:00:00"/>
    <s v="IT87"/>
    <m/>
    <s v="Versement"/>
    <x v="32"/>
    <x v="0"/>
    <n v="199912"/>
    <x v="5"/>
    <s v="CA-F-V53"/>
    <m/>
  </r>
  <r>
    <d v="2025-02-25T00:00:00"/>
    <s v="IT87"/>
    <m/>
    <s v="Versement"/>
    <x v="53"/>
    <x v="0"/>
    <n v="147912"/>
    <x v="5"/>
    <s v="CA-F-V54"/>
    <m/>
  </r>
  <r>
    <d v="2025-02-26T00:00:00"/>
    <s v="BCI3654803"/>
    <m/>
    <s v="Versement"/>
    <x v="0"/>
    <x v="1"/>
    <n v="2147912"/>
    <x v="6"/>
    <s v="CA-F-V55"/>
    <m/>
  </r>
  <r>
    <d v="2025-02-26T00:00:00"/>
    <s v="Crepin"/>
    <m/>
    <s v="Versement"/>
    <x v="8"/>
    <x v="0"/>
    <n v="2077912"/>
    <x v="13"/>
    <s v="CA-F-V56"/>
    <m/>
  </r>
  <r>
    <d v="2025-02-26T00:00:00"/>
    <s v="Evariste"/>
    <m/>
    <s v="Versement"/>
    <x v="45"/>
    <x v="0"/>
    <n v="2002912"/>
    <x v="8"/>
    <s v="CA-F-V57"/>
    <m/>
  </r>
  <r>
    <d v="2025-02-26T00:00:00"/>
    <s v="Abraham"/>
    <m/>
    <s v="Versement"/>
    <x v="54"/>
    <x v="0"/>
    <n v="1881912"/>
    <x v="9"/>
    <s v="CA-F-V58"/>
    <m/>
  </r>
  <r>
    <d v="2025-02-26T00:00:00"/>
    <s v="Romain"/>
    <m/>
    <s v="Versement"/>
    <x v="10"/>
    <x v="0"/>
    <n v="1781912"/>
    <x v="3"/>
    <s v="CA-F-V59"/>
    <m/>
  </r>
  <r>
    <d v="2025-02-26T00:00:00"/>
    <s v="Frais de transfert d'argent à Abraham"/>
    <s v="Office"/>
    <s v="Transfert fees"/>
    <x v="55"/>
    <x v="0"/>
    <n v="1770932"/>
    <x v="11"/>
    <s v="CA-F-R44"/>
    <m/>
  </r>
  <r>
    <d v="2025-02-26T00:00:00"/>
    <s v="Frais de mission à Owando de maitre Alain du 27/02 au 04/03/2025"/>
    <s v="Legal"/>
    <s v="Lawyer fees"/>
    <x v="15"/>
    <x v="0"/>
    <n v="1622932"/>
    <x v="1"/>
    <s v="CA-F-R35"/>
    <m/>
  </r>
  <r>
    <d v="2025-02-27T00:00:00"/>
    <s v="DOVI "/>
    <m/>
    <s v="Versement"/>
    <x v="23"/>
    <x v="0"/>
    <n v="1592932"/>
    <x v="12"/>
    <s v="CA-F-V60"/>
    <m/>
  </r>
  <r>
    <d v="2025-02-27T00:00:00"/>
    <s v="IT87"/>
    <m/>
    <s v="Versement"/>
    <x v="56"/>
    <x v="0"/>
    <n v="1564932"/>
    <x v="5"/>
    <s v="CA-F-V61"/>
    <m/>
  </r>
  <r>
    <d v="2025-02-27T00:00:00"/>
    <s v="Reglement prestation de nettoyage jardin PALF du mois de Février 2025"/>
    <s v="Office"/>
    <s v="Services"/>
    <x v="32"/>
    <x v="0"/>
    <n v="1544932"/>
    <x v="1"/>
    <s v="CA-F-R36"/>
    <m/>
  </r>
  <r>
    <d v="2025-02-27T00:00:00"/>
    <s v="Frais de transfert d'argent à IT87"/>
    <s v="Office"/>
    <s v="Transfert fees"/>
    <x v="57"/>
    <x v="0"/>
    <n v="1544372"/>
    <x v="2"/>
    <s v="CA-F-R37"/>
    <m/>
  </r>
  <r>
    <d v="2025-02-28T00:00:00"/>
    <s v="Ramassage ordure du mois Février 2025/Bureau PALF"/>
    <s v="Office"/>
    <s v="Services"/>
    <x v="58"/>
    <x v="0"/>
    <n v="1538372"/>
    <x v="1"/>
    <s v="CA-F-R38"/>
    <m/>
  </r>
  <r>
    <d v="2025-02-28T00:00:00"/>
    <s v="Crepin"/>
    <m/>
    <s v="Versement"/>
    <x v="45"/>
    <x v="0"/>
    <n v="1463372"/>
    <x v="13"/>
    <s v="CA-F-V62"/>
    <m/>
  </r>
  <r>
    <d v="2025-02-28T00:00:00"/>
    <s v="Romain"/>
    <m/>
    <s v="Versement"/>
    <x v="59"/>
    <x v="0"/>
    <n v="1382372"/>
    <x v="3"/>
    <s v="CA-F-V63"/>
    <m/>
  </r>
  <r>
    <d v="2025-02-28T00:00:00"/>
    <s v="Frais de transfert d'argent à Romain"/>
    <s v="Office"/>
    <s v="Transfert fees"/>
    <x v="60"/>
    <x v="0"/>
    <n v="1375352"/>
    <x v="11"/>
    <s v="CA-F-R45"/>
    <m/>
  </r>
  <r>
    <d v="2025-02-28T00:00:00"/>
    <s v="Reglement facture internet periode du 01/03 au 31/03/2025 bureau PALF"/>
    <s v="Office"/>
    <s v="Internet"/>
    <x v="61"/>
    <x v="0"/>
    <n v="1330302"/>
    <x v="1"/>
    <s v="CA-F-R39"/>
    <m/>
  </r>
  <r>
    <d v="2025-02-28T00:00:00"/>
    <s v="Règlement prestation technicienne de surface (mois de Février 2025)"/>
    <s v="Office"/>
    <s v="Services"/>
    <x v="62"/>
    <x v="0"/>
    <n v="1254677"/>
    <x v="11"/>
    <s v="CA-F-R40"/>
    <m/>
  </r>
  <r>
    <d v="2025-02-28T00:00:00"/>
    <s v="Achat fourniture de bureau/Classeurs,stylo,intercalaire,rame papier,surligneur,chemise cartonnée"/>
    <s v="Office"/>
    <s v="Office Materiels"/>
    <x v="63"/>
    <x v="0"/>
    <n v="1072677"/>
    <x v="1"/>
    <s v="CA-F-R41"/>
    <m/>
  </r>
  <r>
    <d v="2025-02-28T00:00:00"/>
    <s v="Frais de carte de travail Parfaite"/>
    <s v="Office"/>
    <s v="Personnel"/>
    <x v="64"/>
    <x v="0"/>
    <n v="1062177"/>
    <x v="1"/>
    <s v="CA-F-R42"/>
    <m/>
  </r>
  <r>
    <d v="2025-02-28T00:00:00"/>
    <s v="Bonus media portant sur l'interpellation de deux présumé trafiquants le 24/02/2025 à Owando"/>
    <s v="Media"/>
    <s v="Bonus to media office"/>
    <x v="50"/>
    <x v="0"/>
    <n v="862177"/>
    <x v="8"/>
    <s v="CA-F-D13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0">
  <r>
    <d v="2025-02-03T00:00:00"/>
    <s v="Achat credit  teléphonique MTN/PALF/Première partie du mois de Février 2025/Management"/>
    <x v="0"/>
    <x v="0"/>
    <n v="42000"/>
    <n v="70.446986126975659"/>
    <n v="596.19299999999998"/>
    <x v="0"/>
    <s v="CA-F-R1"/>
    <s v="PALF"/>
    <s v="Wildcat"/>
    <s v="CONGO"/>
    <m/>
    <m/>
    <m/>
  </r>
  <r>
    <d v="2025-02-03T00:00:00"/>
    <s v="Achat credit  teléphonique MTN/PALF/Première partie du mois de Février 2025/Legal"/>
    <x v="0"/>
    <x v="1"/>
    <n v="74000"/>
    <n v="124.12088031895712"/>
    <n v="596.19299999999998"/>
    <x v="0"/>
    <s v="CA-F-R2"/>
    <s v="PALF"/>
    <s v="Wildcat"/>
    <s v="CONGO"/>
    <m/>
    <m/>
    <m/>
  </r>
  <r>
    <d v="2025-02-03T00:00:00"/>
    <s v="Achat credit  teléphonique MTN/PALF/Première partie du mois de Février 2025/Investigation"/>
    <x v="0"/>
    <x v="2"/>
    <n v="88000"/>
    <n v="147.60320902794902"/>
    <n v="596.19299999999998"/>
    <x v="0"/>
    <s v="CA-F-R3"/>
    <s v="PALF"/>
    <s v="Wildcat"/>
    <s v="CONGO"/>
    <m/>
    <m/>
    <m/>
  </r>
  <r>
    <d v="2025-02-03T00:00:00"/>
    <s v="Achat credit  teléphonique MTN/PALF/Première partie du mois de Février 2025/Media"/>
    <x v="0"/>
    <x v="3"/>
    <n v="10000"/>
    <n v="16.773091934994206"/>
    <n v="596.19299999999998"/>
    <x v="0"/>
    <s v="CA-F-R4"/>
    <s v="PALF"/>
    <s v="Wildcat"/>
    <s v="CONGO"/>
    <m/>
    <m/>
    <m/>
  </r>
  <r>
    <d v="2025-02-03T00:00:00"/>
    <s v="Achat credit  teléphonique Airtel/PALF/Première partie du mois de Février 2025/Legal"/>
    <x v="0"/>
    <x v="1"/>
    <n v="10000"/>
    <n v="16.773091934994206"/>
    <n v="596.19299999999998"/>
    <x v="0"/>
    <s v="CA-F-R5"/>
    <s v="PALF"/>
    <s v="Wildcat"/>
    <s v="CONGO"/>
    <m/>
    <m/>
    <m/>
  </r>
  <r>
    <d v="2025-02-03T00:00:00"/>
    <s v="Achat credit  teléphonique Airtel/PALF/Première partie du mois de Février 2025/Investigation"/>
    <x v="0"/>
    <x v="2"/>
    <n v="16000"/>
    <n v="26.836947095990727"/>
    <n v="596.19299999999998"/>
    <x v="0"/>
    <s v="CA-F-R6"/>
    <s v="PALF"/>
    <s v="Wildcat"/>
    <s v="CONGO"/>
    <m/>
    <m/>
    <m/>
  </r>
  <r>
    <d v="2025-02-03T00:00:00"/>
    <s v="Achat credit  teléphonique Airtel/PALF/Première partie du mois de Février 2025/Media"/>
    <x v="0"/>
    <x v="3"/>
    <n v="11000"/>
    <n v="18.450401128493628"/>
    <n v="596.19299999999998"/>
    <x v="0"/>
    <s v="CA-F-R7"/>
    <s v="PALF"/>
    <s v="Wildcat"/>
    <s v="CONGO"/>
    <m/>
    <m/>
    <m/>
  </r>
  <r>
    <d v="2025-02-04T00:00:00"/>
    <s v="Achat billet brazzaville-oyo/P29"/>
    <x v="1"/>
    <x v="2"/>
    <n v="6000"/>
    <n v="10.063855160996523"/>
    <n v="596.19299999999998"/>
    <x v="1"/>
    <s v="P29-F-R1"/>
    <s v="PALF"/>
    <s v="Wildcat"/>
    <s v="CONGO"/>
    <m/>
    <m/>
    <m/>
  </r>
  <r>
    <d v="2025-02-04T00:00:00"/>
    <s v="Achat  Billet  Brazzaville-Owando/Romain"/>
    <x v="1"/>
    <x v="1"/>
    <n v="7000"/>
    <n v="11.741164354495943"/>
    <n v="596.19299999999998"/>
    <x v="2"/>
    <s v="RM-F-R1"/>
    <s v="PALF"/>
    <s v="Wildcat"/>
    <s v="CONGO"/>
    <m/>
    <m/>
    <m/>
  </r>
  <r>
    <d v="2025-02-04T00:00:00"/>
    <s v="Frais de mission maitre Alain BANZOUZI du 05 au 07 Février 2025 à Owando suivi audience"/>
    <x v="2"/>
    <x v="1"/>
    <n v="70000"/>
    <n v="117.41164354495943"/>
    <n v="596.19299999999998"/>
    <x v="2"/>
    <s v="CA-F-R8"/>
    <s v="PALF"/>
    <s v="Wildcat"/>
    <s v="CONGO"/>
    <m/>
    <m/>
    <m/>
  </r>
  <r>
    <d v="2025-02-04T00:00:00"/>
    <s v=" Achat billet Brazzaville- Owando/Roderlin"/>
    <x v="1"/>
    <x v="1"/>
    <n v="7000"/>
    <n v="11.741164354495943"/>
    <n v="596.19299999999998"/>
    <x v="3"/>
    <s v="RO-F-R1"/>
    <s v="PALF"/>
    <s v="Wildcat"/>
    <s v="CONGO"/>
    <m/>
    <m/>
    <m/>
  </r>
  <r>
    <d v="2025-02-04T00:00:00"/>
    <s v="Reglement Facture Gardiennage Mois de Janvier 2025/36564792"/>
    <x v="3"/>
    <x v="4"/>
    <n v="260000"/>
    <n v="436.10039030984933"/>
    <n v="596.19299999999998"/>
    <x v="4"/>
    <s v="BQ-F-R1"/>
    <s v="PALF"/>
    <s v="Wildcat"/>
    <s v="CONGO"/>
    <m/>
    <m/>
    <m/>
  </r>
  <r>
    <d v="2025-02-05T00:00:00"/>
    <s v="Achat eau mineral 16 LITRES/Bureau"/>
    <x v="4"/>
    <x v="4"/>
    <n v="25000"/>
    <n v="41.93272983748551"/>
    <n v="596.19299999999998"/>
    <x v="0"/>
    <s v="CA-F-R9"/>
    <s v="PALF"/>
    <s v="Wildcat"/>
    <s v="CONGO"/>
    <m/>
    <m/>
    <m/>
  </r>
  <r>
    <d v="2025-02-05T00:00:00"/>
    <s v="Achat produit d'entretien lait,sucre,javel,papier toilette,sucre,café/Bureau PALF"/>
    <x v="4"/>
    <x v="4"/>
    <n v="63000"/>
    <n v="105.6704791904635"/>
    <n v="596.19299999999998"/>
    <x v="0"/>
    <s v="CA-F-R10"/>
    <s v="PALF"/>
    <s v="Wildcat"/>
    <s v="CONGO"/>
    <m/>
    <m/>
    <m/>
  </r>
  <r>
    <d v="2025-02-05T00:00:00"/>
    <s v="P29 - CONGO Ration  du 05 au 28/02/2025 à Oyo,Tchikapika et Owando(23 Nuitées)"/>
    <x v="5"/>
    <x v="2"/>
    <n v="230000"/>
    <n v="385.78111450486671"/>
    <n v="596.19299999999998"/>
    <x v="1"/>
    <s v="P29-F-D1"/>
    <s v="PALF"/>
    <s v="Wildcat"/>
    <s v="CONGO"/>
    <m/>
    <m/>
    <m/>
  </r>
  <r>
    <d v="2025-02-05T00:00:00"/>
    <s v="IT87 - CONGO Ration du 05 au 12/02/2025 à Makoua,etoumbi,Otende"/>
    <x v="5"/>
    <x v="2"/>
    <n v="70000"/>
    <n v="117.41164354495943"/>
    <n v="596.19299999999998"/>
    <x v="5"/>
    <s v="IT87-F-D1"/>
    <s v="PALF"/>
    <s v="Wildcat"/>
    <s v="CONGO"/>
    <m/>
    <m/>
    <m/>
  </r>
  <r>
    <d v="2025-02-04T00:00:00"/>
    <s v="Achat billet Brazzaville - Makoua/ IT87"/>
    <x v="1"/>
    <x v="2"/>
    <n v="9000"/>
    <n v="15.095782741494785"/>
    <n v="596.19299999999998"/>
    <x v="5"/>
    <s v="IT87-F-R1"/>
    <s v="PALF"/>
    <s v="Wildcat"/>
    <s v="CONGO"/>
    <m/>
    <m/>
    <m/>
  </r>
  <r>
    <d v="2025-02-05T00:00:00"/>
    <s v="Achat billet Makoua - Etoumbi/ IT87"/>
    <x v="1"/>
    <x v="2"/>
    <n v="5000"/>
    <n v="8.3865459674971028"/>
    <n v="596.19299999999998"/>
    <x v="5"/>
    <s v="IT87-F-R1"/>
    <s v="PALF"/>
    <s v="Wildcat"/>
    <s v="CONGO"/>
    <m/>
    <m/>
    <m/>
  </r>
  <r>
    <d v="2025-02-05T00:00:00"/>
    <s v="ROMAIN-CONGO: Ration du 05 au 07/02/2025 à Owando"/>
    <x v="5"/>
    <x v="1"/>
    <n v="20000"/>
    <n v="33.546183869988411"/>
    <n v="596.19299999999998"/>
    <x v="2"/>
    <s v="RM-F-D1"/>
    <s v="PALF"/>
    <s v="Wildcat"/>
    <s v="CONGO"/>
    <m/>
    <m/>
    <m/>
  </r>
  <r>
    <d v="2025-02-05T00:00:00"/>
    <s v="RODERLIN-CONGO Ration du 05 au 07/02/2025 à Owando (02 nuitées)"/>
    <x v="5"/>
    <x v="1"/>
    <n v="20000"/>
    <n v="33.546183869988411"/>
    <n v="596.19299999999998"/>
    <x v="3"/>
    <s v="RO-F-D1"/>
    <s v="PALF"/>
    <s v="Wildcat"/>
    <s v="CONGO"/>
    <m/>
    <m/>
    <m/>
  </r>
  <r>
    <d v="2025-02-05T00:00:00"/>
    <s v="Reglement loyer du mois de Janvier 2025/3654789"/>
    <x v="6"/>
    <x v="4"/>
    <n v="500000"/>
    <n v="838.65459674971032"/>
    <n v="596.19299999999998"/>
    <x v="4"/>
    <s v="BQ-F-R2"/>
    <s v="PALF"/>
    <s v="Wildcat"/>
    <s v="CONGO"/>
    <m/>
    <m/>
    <m/>
  </r>
  <r>
    <d v="2025-02-06T00:00:00"/>
    <s v="Achat billet : Brazzaville - Makoua/T73"/>
    <x v="1"/>
    <x v="2"/>
    <n v="9000"/>
    <n v="15.095782741494785"/>
    <n v="596.19299999999998"/>
    <x v="6"/>
    <s v="T73-F-R1"/>
    <s v="PALF"/>
    <s v="Wildcat"/>
    <s v="CONGO"/>
    <m/>
    <m/>
    <m/>
  </r>
  <r>
    <d v="2025-02-06T00:00:00"/>
    <s v="T73 - CONGO Ration du 06 au 28/12/2024 (22nuitées)à Makoua et Owando"/>
    <x v="5"/>
    <x v="2"/>
    <n v="190000"/>
    <n v="318.68874676488991"/>
    <n v="596.19299999999998"/>
    <x v="6"/>
    <s v="T73-F-D1"/>
    <s v="PALF"/>
    <s v="Wildcat"/>
    <s v="CONGO"/>
    <m/>
    <m/>
    <m/>
  </r>
  <r>
    <d v="2025-02-07T00:00:00"/>
    <s v="Achat billet oyo-tchikapika/P29"/>
    <x v="1"/>
    <x v="2"/>
    <n v="5000"/>
    <n v="8.3865459674971028"/>
    <n v="596.19299999999998"/>
    <x v="1"/>
    <s v="P29-F-R2"/>
    <s v="PALF"/>
    <s v="Wildcat"/>
    <s v="CONGO"/>
    <m/>
    <m/>
    <m/>
  </r>
  <r>
    <d v="2025-02-07T00:00:00"/>
    <s v="P29 - CONGO Frais d'hotel du 05 au 07/02/2025 à oyo(02 Nuitées)"/>
    <x v="5"/>
    <x v="2"/>
    <n v="30000"/>
    <n v="50.319275804982617"/>
    <n v="596.19299999999998"/>
    <x v="1"/>
    <s v="P29-F-R3"/>
    <s v="PALF"/>
    <s v="Wildcat"/>
    <s v="CONGO"/>
    <m/>
    <m/>
    <m/>
  </r>
  <r>
    <d v="2025-02-07T00:00:00"/>
    <s v="IT87 - CONGO Frais d'hôtel Akoua du 05 au 07/02/2025 à Etoumbi (02 nuitées)"/>
    <x v="5"/>
    <x v="2"/>
    <n v="30000"/>
    <n v="50.319275804982617"/>
    <n v="596.19299999999998"/>
    <x v="5"/>
    <s v="IT87-F-R1"/>
    <s v="PALF"/>
    <s v="Wildcat"/>
    <s v="CONGO"/>
    <m/>
    <m/>
    <m/>
  </r>
  <r>
    <d v="2025-02-07T00:00:00"/>
    <s v="Achat billet Etoumbi - Makoua/ IT87"/>
    <x v="1"/>
    <x v="2"/>
    <n v="5000"/>
    <n v="8.3865459674971028"/>
    <n v="596.19299999999998"/>
    <x v="5"/>
    <s v="IT87-F-R2"/>
    <s v="PALF"/>
    <s v="Wildcat"/>
    <s v="CONGO"/>
    <m/>
    <m/>
    <m/>
  </r>
  <r>
    <d v="2025-02-07T00:00:00"/>
    <s v="Achat billet Makoua - Otende/ IT87"/>
    <x v="1"/>
    <x v="2"/>
    <n v="4500"/>
    <n v="7.5478913707473927"/>
    <n v="596.19299999999998"/>
    <x v="5"/>
    <s v="IT87-F-R3"/>
    <s v="PALF"/>
    <s v="Wildcat"/>
    <s v="CONGO"/>
    <m/>
    <m/>
    <m/>
  </r>
  <r>
    <d v="2025-02-08T00:00:00"/>
    <s v="Achat billet :Brazzaville -loudima /G12"/>
    <x v="1"/>
    <x v="2"/>
    <n v="8000"/>
    <n v="13.418473547995363"/>
    <n v="596.19299999999998"/>
    <x v="7"/>
    <s v="G12-F-R1"/>
    <s v="PALF"/>
    <s v="Wildcat"/>
    <s v="CONGO"/>
    <m/>
    <m/>
    <m/>
  </r>
  <r>
    <d v="2025-02-07T00:00:00"/>
    <s v="Achat billet retour Owando-Brazzaville/Romain"/>
    <x v="1"/>
    <x v="1"/>
    <n v="7000"/>
    <n v="11.741164354495943"/>
    <n v="596.19299999999998"/>
    <x v="2"/>
    <s v="RM-F-R2"/>
    <s v="PALF"/>
    <s v="Wildcat"/>
    <s v="CONGO"/>
    <m/>
    <m/>
    <m/>
  </r>
  <r>
    <d v="2025-02-07T00:00:00"/>
    <s v="ROMAIN - CONGO Frais d'hotel du 05 au 07/02/2025 à Owando(2 nuitées)"/>
    <x v="5"/>
    <x v="1"/>
    <n v="30000"/>
    <n v="50.319275804982617"/>
    <n v="596.19299999999998"/>
    <x v="2"/>
    <s v="RM-F-R3"/>
    <s v="PALF"/>
    <s v="Wildcat"/>
    <s v="CONGO"/>
    <m/>
    <m/>
    <m/>
  </r>
  <r>
    <d v="2025-02-07T00:00:00"/>
    <s v="Achat billet Owando- Brazzaville /Roderlin"/>
    <x v="1"/>
    <x v="1"/>
    <n v="7000"/>
    <n v="11.741164354495943"/>
    <n v="596.19299999999998"/>
    <x v="3"/>
    <s v="RO-F-R2"/>
    <s v="PALF"/>
    <s v="Wildcat"/>
    <s v="CONGO"/>
    <m/>
    <m/>
    <m/>
  </r>
  <r>
    <d v="2025-02-07T00:00:00"/>
    <s v="RODERLIN-CONGO frais d'hôtel du 05 au 07/02/2025 à Owando (02 nuitées)"/>
    <x v="5"/>
    <x v="1"/>
    <n v="30000"/>
    <n v="50.319275804982617"/>
    <n v="596.19299999999998"/>
    <x v="3"/>
    <s v="RO-F-R3"/>
    <s v="PALF"/>
    <s v="Wildcat"/>
    <s v="CONGO"/>
    <m/>
    <m/>
    <m/>
  </r>
  <r>
    <d v="2025-02-06T00:00:00"/>
    <s v="Bonus media portant sur l'audience du 06 Février au TG1 d'Owando"/>
    <x v="7"/>
    <x v="3"/>
    <n v="148000"/>
    <n v="248.24176063791424"/>
    <n v="596.19299999999998"/>
    <x v="8"/>
    <s v="CA-F-D1"/>
    <s v="PALF"/>
    <s v="Wildcat"/>
    <s v="CONGO"/>
    <m/>
    <m/>
    <m/>
  </r>
  <r>
    <d v="2025-02-08T00:00:00"/>
    <s v="G12 - CONGO  Ration du 08 au 15 /02/2025(07 Nuitées)"/>
    <x v="5"/>
    <x v="2"/>
    <n v="70000"/>
    <n v="117.41164354495943"/>
    <n v="596.19299999999998"/>
    <x v="7"/>
    <s v="G12-F-D1"/>
    <s v="PALF"/>
    <s v="Wildcat"/>
    <s v="CONGO"/>
    <m/>
    <m/>
    <m/>
  </r>
  <r>
    <d v="2025-02-08T00:00:00"/>
    <s v="Achat billet: Loudima - sibiti/G12"/>
    <x v="1"/>
    <x v="2"/>
    <n v="4000"/>
    <n v="6.7092367739976817"/>
    <n v="596.19299999999998"/>
    <x v="7"/>
    <s v="G12-F-R2"/>
    <s v="PALF"/>
    <s v="Wildcat"/>
    <s v="CONGO"/>
    <m/>
    <m/>
    <m/>
  </r>
  <r>
    <d v="2025-02-07T00:00:00"/>
    <s v="Frais de transfert d'argent à T73"/>
    <x v="8"/>
    <x v="4"/>
    <n v="4830.0000000000009"/>
    <n v="8.1014034046022019"/>
    <n v="596.19299999999998"/>
    <x v="9"/>
    <s v="CA-F-R11"/>
    <s v="PALF"/>
    <s v="Wildcat"/>
    <s v="CONGO"/>
    <m/>
    <m/>
    <m/>
  </r>
  <r>
    <d v="2025-02-09T00:00:00"/>
    <s v="P29 -CONGO Frais d'hotel du 07 au 09/02/2025 à tchikapika(02 Nuitées)"/>
    <x v="5"/>
    <x v="2"/>
    <n v="30000"/>
    <n v="50.319275804982617"/>
    <n v="596.19299999999998"/>
    <x v="1"/>
    <s v="P29-F-R4"/>
    <s v="PALF"/>
    <s v="Wildcat"/>
    <s v="CONGO"/>
    <m/>
    <m/>
    <m/>
  </r>
  <r>
    <d v="2025-02-09T00:00:00"/>
    <s v="Achat billet tchikapika-ombele/P29"/>
    <x v="1"/>
    <x v="2"/>
    <n v="5000"/>
    <n v="8.3865459674971028"/>
    <n v="596.19299999999998"/>
    <x v="1"/>
    <s v="P29-F-R5"/>
    <s v="PALF"/>
    <s v="Wildcat"/>
    <s v="CONGO"/>
    <m/>
    <m/>
    <m/>
  </r>
  <r>
    <d v="2025-02-09T00:00:00"/>
    <s v="Cumul frais de trust building du mois de Février 2025/P29"/>
    <x v="9"/>
    <x v="2"/>
    <n v="39500"/>
    <n v="66.253713143227117"/>
    <n v="596.19299999999998"/>
    <x v="1"/>
    <s v="P29-F-D2"/>
    <s v="PALF"/>
    <s v="Wildcat"/>
    <s v="CONGO"/>
    <m/>
    <m/>
    <m/>
  </r>
  <r>
    <d v="2025-02-09T00:00:00"/>
    <s v="IT87 - CONGOFrais d'hôtel le Pépin du 07 au 09/02/2025 à Otende (02 nuitées)"/>
    <x v="5"/>
    <x v="2"/>
    <n v="30000"/>
    <n v="50.319275804982617"/>
    <n v="596.19299999999998"/>
    <x v="5"/>
    <s v="IT87-F-R4"/>
    <s v="PALF"/>
    <s v="Wildcat"/>
    <s v="CONGO"/>
    <m/>
    <m/>
    <m/>
  </r>
  <r>
    <d v="2025-02-09T00:00:00"/>
    <s v="Achat billet Otende - Oyo/ IT87"/>
    <x v="1"/>
    <x v="2"/>
    <n v="3000"/>
    <n v="5.0319275804982615"/>
    <n v="596.19299999999998"/>
    <x v="5"/>
    <s v="IT87-F-R5"/>
    <s v="PALF"/>
    <s v="Wildcat"/>
    <s v="CONGO"/>
    <m/>
    <m/>
    <m/>
  </r>
  <r>
    <d v="2025-02-10T00:00:00"/>
    <s v="Frais d'hotel du 09 au 10/02/2025 à ombele"/>
    <x v="5"/>
    <x v="2"/>
    <n v="15000"/>
    <n v="25.159637902491308"/>
    <n v="596.19299999999998"/>
    <x v="1"/>
    <s v="P29-F-R6"/>
    <s v="PALF"/>
    <s v="Wildcat"/>
    <s v="CONGO"/>
    <m/>
    <m/>
    <m/>
  </r>
  <r>
    <d v="2025-02-10T00:00:00"/>
    <s v="Achat billet ombele-owando/P29"/>
    <x v="1"/>
    <x v="2"/>
    <n v="5000"/>
    <n v="8.3865459674971028"/>
    <n v="596.19299999999998"/>
    <x v="1"/>
    <s v="P29-F-R7"/>
    <s v="PALF"/>
    <s v="Wildcat"/>
    <s v="CONGO"/>
    <m/>
    <m/>
    <m/>
  </r>
  <r>
    <d v="2025-02-10T00:00:00"/>
    <s v="T73 - CONGO Frais d'hotel du 06 au 10/02/2025 (04nuitées ) à Makoua"/>
    <x v="5"/>
    <x v="2"/>
    <n v="60000"/>
    <n v="100.63855160996523"/>
    <n v="596.19299999999998"/>
    <x v="6"/>
    <s v="T73-F-R2"/>
    <s v="PALF"/>
    <s v="Wildcat"/>
    <s v="CONGO"/>
    <m/>
    <m/>
    <m/>
  </r>
  <r>
    <d v="2025-02-10T00:00:00"/>
    <s v="Achat billet : makoua - Owando/T73"/>
    <x v="1"/>
    <x v="2"/>
    <n v="3000"/>
    <n v="5.0319275804982615"/>
    <n v="596.19299999999998"/>
    <x v="6"/>
    <s v="T73-F-R4"/>
    <s v="PALF"/>
    <s v="Wildcat"/>
    <s v="CONGO"/>
    <m/>
    <m/>
    <m/>
  </r>
  <r>
    <d v="2025-02-11T00:00:00"/>
    <s v="Bonus du mois de Janvier 2025/Merveille"/>
    <x v="10"/>
    <x v="4"/>
    <n v="94430"/>
    <n v="158.38830714215027"/>
    <n v="596.19299999999998"/>
    <x v="0"/>
    <s v="CA-F-D2"/>
    <s v="PALF"/>
    <s v="Wildcat"/>
    <s v="CONGO"/>
    <m/>
    <m/>
    <m/>
  </r>
  <r>
    <d v="2025-02-11T00:00:00"/>
    <s v="Bonus du mois de Janvier 2025/Crepin"/>
    <x v="10"/>
    <x v="1"/>
    <n v="30000"/>
    <n v="50.319275804982617"/>
    <n v="596.19299999999998"/>
    <x v="0"/>
    <s v="CA-F-D3"/>
    <s v="PALF"/>
    <s v="Wildcat"/>
    <s v="CONGO"/>
    <m/>
    <m/>
    <m/>
  </r>
  <r>
    <d v="2025-02-11T00:00:00"/>
    <s v="Bonus du mois de Janvier 2025/Romain"/>
    <x v="10"/>
    <x v="1"/>
    <n v="30000"/>
    <n v="50.319275804982617"/>
    <n v="596.19299999999998"/>
    <x v="0"/>
    <s v="CA-F-D4"/>
    <s v="PALF"/>
    <s v="Wildcat"/>
    <s v="CONGO"/>
    <m/>
    <m/>
    <m/>
  </r>
  <r>
    <d v="2025-02-11T00:00:00"/>
    <s v="Bonus du mois de Janvier 2025/Abraham"/>
    <x v="10"/>
    <x v="1"/>
    <n v="30000"/>
    <n v="50.319275804982617"/>
    <n v="596.19299999999998"/>
    <x v="0"/>
    <s v="CA-F-D5"/>
    <s v="PALF"/>
    <s v="Wildcat"/>
    <s v="CONGO"/>
    <m/>
    <m/>
    <m/>
  </r>
  <r>
    <d v="2025-02-11T00:00:00"/>
    <s v="Bonus du mois de Janvier 2025/Roderlin"/>
    <x v="10"/>
    <x v="1"/>
    <n v="30000"/>
    <n v="50.319275804982617"/>
    <n v="596.19299999999998"/>
    <x v="0"/>
    <s v="CA-F-D6"/>
    <s v="PALF"/>
    <s v="Wildcat"/>
    <s v="CONGO"/>
    <m/>
    <m/>
    <m/>
  </r>
  <r>
    <d v="2025-02-11T00:00:00"/>
    <s v="Bonus du mois de Janvier 2025/Evariste"/>
    <x v="10"/>
    <x v="3"/>
    <n v="30000"/>
    <n v="50.319275804982617"/>
    <n v="596.19299999999998"/>
    <x v="0"/>
    <s v="CA-F-D7"/>
    <s v="PALF"/>
    <s v="Wildcat"/>
    <s v="CONGO"/>
    <m/>
    <m/>
    <m/>
  </r>
  <r>
    <d v="2025-02-11T00:00:00"/>
    <s v="Bonus opération du 15/01/2025 à Owando/Crepin"/>
    <x v="11"/>
    <x v="5"/>
    <n v="35000"/>
    <n v="58.705821772479716"/>
    <n v="596.19299999999998"/>
    <x v="0"/>
    <s v="CA-F-D8"/>
    <s v="PALF"/>
    <s v="Wildcat"/>
    <s v="CONGO"/>
    <m/>
    <m/>
    <m/>
  </r>
  <r>
    <d v="2025-02-11T00:00:00"/>
    <s v="Bonus opération du 15/01/2025 à Owando/Romain"/>
    <x v="11"/>
    <x v="5"/>
    <n v="30000"/>
    <n v="50.319275804982617"/>
    <n v="596.19299999999998"/>
    <x v="0"/>
    <s v="CA-F-D9"/>
    <s v="PALF"/>
    <s v="Wildcat"/>
    <s v="CONGO"/>
    <m/>
    <m/>
    <m/>
  </r>
  <r>
    <d v="2025-02-11T00:00:00"/>
    <s v="Bonus opération du 15/01/2025 à Owando/Abraham"/>
    <x v="11"/>
    <x v="5"/>
    <n v="30000"/>
    <n v="50.319275804982617"/>
    <n v="596.19299999999998"/>
    <x v="0"/>
    <s v="CA-F-D10"/>
    <s v="PALF"/>
    <s v="Wildcat"/>
    <s v="CONGO"/>
    <m/>
    <m/>
    <m/>
  </r>
  <r>
    <d v="2025-02-11T00:00:00"/>
    <s v="Bonus opération du 15/01/2025 à Owando/Evariste"/>
    <x v="11"/>
    <x v="5"/>
    <n v="30000"/>
    <n v="50.319275804982617"/>
    <n v="596.19299999999998"/>
    <x v="0"/>
    <s v="CA-F-D11"/>
    <s v="PALF"/>
    <s v="Wildcat"/>
    <s v="CONGO"/>
    <m/>
    <m/>
    <m/>
  </r>
  <r>
    <d v="2025-02-11T00:00:00"/>
    <s v="G12 Congo frais d'hotel du 08 au 11/02/2025   à sibiti (3 nuitées)"/>
    <x v="5"/>
    <x v="2"/>
    <n v="45000"/>
    <n v="75.478913707473922"/>
    <n v="596.19299999999998"/>
    <x v="7"/>
    <s v="G12-F-R3"/>
    <s v="PALF"/>
    <s v="Wildcat"/>
    <s v="CONGO"/>
    <m/>
    <m/>
    <m/>
  </r>
  <r>
    <d v="2025-02-11T00:00:00"/>
    <s v="Achat billet sibiti - loudima /G12"/>
    <x v="1"/>
    <x v="2"/>
    <n v="4000"/>
    <n v="6.7092367739976817"/>
    <n v="596.19299999999998"/>
    <x v="7"/>
    <s v="G12-F-R4"/>
    <s v="PALF"/>
    <s v="Wildcat"/>
    <s v="CONGO"/>
    <m/>
    <m/>
    <m/>
  </r>
  <r>
    <d v="2025-02-11T00:00:00"/>
    <s v="Achat billet loudima -nkayi / G12"/>
    <x v="1"/>
    <x v="2"/>
    <n v="3000"/>
    <n v="5.0319275804982615"/>
    <n v="596.19299999999998"/>
    <x v="7"/>
    <s v="G12-F-R5"/>
    <s v="PALF"/>
    <s v="Rufford"/>
    <s v="CONGO"/>
    <m/>
    <m/>
    <m/>
  </r>
  <r>
    <d v="2025-02-11T00:00:00"/>
    <s v="Achat billet Brazzaville-Owando(Trans bony)/Abraham"/>
    <x v="1"/>
    <x v="1"/>
    <n v="7000"/>
    <n v="11.741164354495943"/>
    <n v="596.19299999999998"/>
    <x v="9"/>
    <s v="AB-F-R1"/>
    <s v="PALF"/>
    <s v="Rufford"/>
    <s v="CONGO"/>
    <m/>
    <m/>
    <m/>
  </r>
  <r>
    <d v="2025-02-11T00:00:00"/>
    <s v="Frais de mission maitre Marie Helène NANITELAMION du 12 au 14 Février 2025 à Owando suivi audience"/>
    <x v="2"/>
    <x v="1"/>
    <n v="70000"/>
    <n v="117.41164354495943"/>
    <n v="596.19299999999998"/>
    <x v="9"/>
    <s v="CA-F-R13"/>
    <s v="PALF"/>
    <s v="Wildcat"/>
    <s v="CONGO"/>
    <m/>
    <m/>
    <m/>
  </r>
  <r>
    <d v="2025-02-11T00:00:00"/>
    <s v="Frais de transfert d'argent à G12"/>
    <x v="8"/>
    <x v="4"/>
    <n v="4110"/>
    <n v="6.8937407852826187"/>
    <n v="596.19299999999998"/>
    <x v="3"/>
    <s v="CA-F-R12"/>
    <s v="PALF"/>
    <s v="Wildcat"/>
    <s v="CONGO"/>
    <m/>
    <m/>
    <m/>
  </r>
  <r>
    <d v="2025-02-11T00:00:00"/>
    <s v="Frais de transfert d'argent à P29"/>
    <x v="8"/>
    <x v="4"/>
    <n v="6720"/>
    <n v="11.271517780316106"/>
    <n v="596.19299999999998"/>
    <x v="3"/>
    <s v="CA-F-R14"/>
    <s v="PALF"/>
    <s v="Wildcat"/>
    <s v="CONGO"/>
    <m/>
    <m/>
    <m/>
  </r>
  <r>
    <d v="2025-02-11T00:00:00"/>
    <s v="Solde honoraire contrat n°81 Owando cas Monick/ Maître BANZOUZI Alain/3654800"/>
    <x v="2"/>
    <x v="1"/>
    <n v="200000"/>
    <n v="335.46183869988408"/>
    <n v="596.19299999999998"/>
    <x v="4"/>
    <s v="BQ-F-R3"/>
    <s v="PALF"/>
    <s v="Wildcat"/>
    <s v="CONGO"/>
    <m/>
    <m/>
    <m/>
  </r>
  <r>
    <d v="2025-02-12T00:00:00"/>
    <s v="IT87 - CONGO Frais d'hôtel Saint Benoît du 09 au 12/02/2025 à Oyo (03 nuitées)"/>
    <x v="5"/>
    <x v="2"/>
    <n v="45000"/>
    <n v="75.478913707473922"/>
    <n v="596.19299999999998"/>
    <x v="5"/>
    <s v="IT87-F-R6"/>
    <s v="PALF"/>
    <s v="Wildcat"/>
    <s v="CONGO"/>
    <m/>
    <m/>
    <m/>
  </r>
  <r>
    <d v="2025-02-12T00:00:00"/>
    <s v="Achat billet Oyo - Brazzaville/ IT87"/>
    <x v="1"/>
    <x v="2"/>
    <n v="7000"/>
    <n v="11.741164354495943"/>
    <n v="596.19299999999998"/>
    <x v="5"/>
    <s v="IT87-F-R6"/>
    <s v="PALF"/>
    <s v="Wildcat"/>
    <s v="CONGO"/>
    <m/>
    <m/>
    <m/>
  </r>
  <r>
    <d v="2025-02-12T00:00:00"/>
    <s v="ABRAHAM - CONGO food allowance du 12/02 au 01/03/2025 à Owando (02 Nuitées)"/>
    <x v="5"/>
    <x v="1"/>
    <n v="170000"/>
    <n v="285.14256289490152"/>
    <n v="596.19299999999998"/>
    <x v="9"/>
    <s v="AB-F-D1"/>
    <s v="PALF"/>
    <s v="Wildcat"/>
    <s v="CONGO"/>
    <m/>
    <m/>
    <m/>
  </r>
  <r>
    <d v="2025-02-12T00:00:00"/>
    <s v="Achat billet Brazzaville- Loudima/Roderlin"/>
    <x v="1"/>
    <x v="1"/>
    <n v="8000"/>
    <n v="13.418473547995363"/>
    <n v="596.19299999999998"/>
    <x v="3"/>
    <s v="RO-F-R4"/>
    <s v="PALF"/>
    <s v="Wildcat"/>
    <s v="CONGO"/>
    <m/>
    <m/>
    <m/>
  </r>
  <r>
    <d v="2025-02-12T00:00:00"/>
    <s v="Frais de transfert d'argent à T73"/>
    <x v="8"/>
    <x v="4"/>
    <n v="1980"/>
    <n v="3.3210722031288529"/>
    <n v="596.19299999999998"/>
    <x v="3"/>
    <s v="CA-F-R15"/>
    <s v="PALF"/>
    <s v="Wildcat"/>
    <s v="CONGO"/>
    <m/>
    <m/>
    <m/>
  </r>
  <r>
    <d v="2025-02-12T00:00:00"/>
    <s v="Frais de mission maitre Alain BANZOUZI du 13 au 15 Février 2025 à Sibiti/suivi audience"/>
    <x v="2"/>
    <x v="1"/>
    <n v="80000"/>
    <n v="134.18473547995364"/>
    <n v="596.19299999999998"/>
    <x v="3"/>
    <s v="CA-F-R16"/>
    <s v="PALF"/>
    <s v="Wildcat"/>
    <s v="CONGO"/>
    <m/>
    <m/>
    <m/>
  </r>
  <r>
    <d v="2025-02-13T00:00:00"/>
    <s v="Paiment assurance DOVI"/>
    <x v="10"/>
    <x v="0"/>
    <n v="129464"/>
    <n v="217.15115742720897"/>
    <n v="596.19299999999998"/>
    <x v="0"/>
    <s v="CA-F-R17"/>
    <s v="PALF"/>
    <s v="Wildcat"/>
    <s v="CONGO"/>
    <m/>
    <m/>
    <m/>
  </r>
  <r>
    <d v="2025-02-13T00:00:00"/>
    <s v="Paiment assurance DOVI"/>
    <x v="10"/>
    <x v="0"/>
    <n v="80500"/>
    <n v="135.02339007670335"/>
    <n v="596.19299999999998"/>
    <x v="0"/>
    <s v="CA-F-R18"/>
    <s v="PALF"/>
    <s v="Wildcat"/>
    <s v="CONGO"/>
    <m/>
    <m/>
    <m/>
  </r>
  <r>
    <d v="2025-02-13T00:00:00"/>
    <s v="G12-CONGO  frais d'hotel du 11 au 13 /02 / 2025 à nkayi (2nuitées)"/>
    <x v="5"/>
    <x v="2"/>
    <n v="30000"/>
    <n v="50.319275804982617"/>
    <n v="596.19299999999998"/>
    <x v="7"/>
    <s v="G12-F-R6"/>
    <s v="PALF"/>
    <s v="Wildcat"/>
    <s v="CONGO"/>
    <m/>
    <m/>
    <m/>
  </r>
  <r>
    <d v="2025-02-13T00:00:00"/>
    <s v="Achat billet nkayi - madingou/G12"/>
    <x v="1"/>
    <x v="2"/>
    <n v="3000"/>
    <n v="5.0319275804982615"/>
    <n v="596.19299999999998"/>
    <x v="7"/>
    <s v="G12-F-R7"/>
    <s v="PALF"/>
    <s v="Wildcat"/>
    <s v="CONGO"/>
    <m/>
    <m/>
    <m/>
  </r>
  <r>
    <d v="2025-02-13T00:00:00"/>
    <s v="RODERLIN-CONGO Ration du 13 au 15/02/2025 à Sibiti (02 nuitées)"/>
    <x v="5"/>
    <x v="1"/>
    <n v="20000"/>
    <n v="33.546183869988411"/>
    <n v="596.19299999999998"/>
    <x v="3"/>
    <s v="RO-F-D2"/>
    <s v="PALF"/>
    <s v="Rufford"/>
    <s v="CONGO"/>
    <m/>
    <m/>
    <m/>
  </r>
  <r>
    <d v="2025-02-13T00:00:00"/>
    <s v="Achat billet Loudima - Sibiti/Roderlin"/>
    <x v="1"/>
    <x v="1"/>
    <n v="4000"/>
    <n v="6.7092367739976817"/>
    <n v="596.19299999999998"/>
    <x v="3"/>
    <s v="RO-F-R6"/>
    <s v="PALF"/>
    <s v="Wildcat"/>
    <s v="CONGO"/>
    <m/>
    <m/>
    <m/>
  </r>
  <r>
    <d v="2025-02-13T00:00:00"/>
    <s v="Bonus media portant sur la journée mondiale du Pangolin"/>
    <x v="7"/>
    <x v="3"/>
    <n v="154000"/>
    <n v="258.30561579891076"/>
    <n v="596.19299999999998"/>
    <x v="8"/>
    <s v="CA-F-D12"/>
    <s v="PALF"/>
    <s v="Rufford"/>
    <s v="CONGO"/>
    <m/>
    <m/>
    <m/>
  </r>
  <r>
    <d v="2025-02-13T00:00:00"/>
    <s v="Reglement frais d'assurance multi risque/Bureau PALF"/>
    <x v="3"/>
    <x v="4"/>
    <n v="227686"/>
    <n v="381.89982103110907"/>
    <n v="596.19299999999998"/>
    <x v="4"/>
    <s v="BQ-F-R4"/>
    <s v="PALF"/>
    <s v="Wildcat"/>
    <s v="CONGO"/>
    <m/>
    <m/>
    <m/>
  </r>
  <r>
    <d v="2025-02-14T00:00:00"/>
    <s v="Bonus à un informateur en RDC"/>
    <x v="9"/>
    <x v="2"/>
    <n v="30000"/>
    <n v="50.319275804982617"/>
    <n v="596.19299999999998"/>
    <x v="10"/>
    <s v="DH-F-R1"/>
    <s v="PALF"/>
    <s v="Wildcat"/>
    <s v="CONGO"/>
    <m/>
    <m/>
    <m/>
  </r>
  <r>
    <d v="2025-02-14T00:00:00"/>
    <s v="Frais de transfert d'argent par western union à l'informateur"/>
    <x v="8"/>
    <x v="4"/>
    <n v="1952"/>
    <n v="3.2741075457108688"/>
    <n v="596.19299999999998"/>
    <x v="10"/>
    <s v="DH-F-R2"/>
    <s v="PALF"/>
    <s v="Wildcat"/>
    <s v="CONGO"/>
    <m/>
    <m/>
    <m/>
  </r>
  <r>
    <d v="2025-02-14T00:00:00"/>
    <s v="Achat billet Brazzaville-Owando/DOVI"/>
    <x v="1"/>
    <x v="0"/>
    <n v="7000"/>
    <n v="11.741164354495943"/>
    <n v="596.19299999999998"/>
    <x v="10"/>
    <s v="DH-F-R3"/>
    <s v="PALF"/>
    <s v="Rufford"/>
    <s v="CONGO"/>
    <m/>
    <m/>
    <m/>
  </r>
  <r>
    <d v="2025-02-14T00:00:00"/>
    <s v="Billet: Brazzaville-Owando/Crepin"/>
    <x v="1"/>
    <x v="1"/>
    <n v="7000"/>
    <n v="11.741164354495943"/>
    <n v="596.19299999999998"/>
    <x v="11"/>
    <s v="CR-F-R1"/>
    <s v="PALF"/>
    <s v="Rufford"/>
    <s v="CONGO"/>
    <m/>
    <m/>
    <m/>
  </r>
  <r>
    <d v="2025-02-14T00:00:00"/>
    <s v="Achat credit  teléphonique MTN/PALF/Deuxième partie du mois de Février 2025/Management"/>
    <x v="0"/>
    <x v="0"/>
    <n v="30000"/>
    <n v="50.319275804982617"/>
    <n v="596.19299999999998"/>
    <x v="0"/>
    <s v="CA-F-R20"/>
    <s v="PALF"/>
    <s v="Rufford"/>
    <s v="CONGO"/>
    <m/>
    <m/>
    <m/>
  </r>
  <r>
    <d v="2025-02-14T00:00:00"/>
    <s v="Achat credit  teléphonique MTN/PALF/Deuxième partie du mois de Février 2025/Legal"/>
    <x v="0"/>
    <x v="1"/>
    <n v="30000"/>
    <n v="50.319275804982617"/>
    <n v="596.19299999999998"/>
    <x v="0"/>
    <s v="CA-F-R21"/>
    <s v="PALF"/>
    <s v="Rufford"/>
    <s v="CONGO"/>
    <m/>
    <m/>
    <m/>
  </r>
  <r>
    <d v="2025-02-14T00:00:00"/>
    <s v="Achat credit  teléphonique MTN/PALF/Deuxième partie du mois de Février 2025/Investigation"/>
    <x v="0"/>
    <x v="2"/>
    <n v="55000"/>
    <n v="92.252005642468134"/>
    <n v="596.19299999999998"/>
    <x v="0"/>
    <s v="CA-F-R22"/>
    <s v="PALF"/>
    <s v="Rufford"/>
    <s v="CONGO"/>
    <m/>
    <m/>
    <m/>
  </r>
  <r>
    <d v="2025-02-14T00:00:00"/>
    <s v="Achat credit  teléphonique MTN/PALF/Deuxième partie du mois de Février 2025/Media"/>
    <x v="0"/>
    <x v="3"/>
    <n v="10000"/>
    <n v="16.773091934994206"/>
    <n v="596.19299999999998"/>
    <x v="0"/>
    <s v="CA-F-R23"/>
    <s v="PALF"/>
    <s v="Rufford"/>
    <s v="CONGO"/>
    <m/>
    <m/>
    <m/>
  </r>
  <r>
    <d v="2025-02-14T00:00:00"/>
    <s v="Achat credit  teléphonique MTN/PALF/Deuxième partie du mois de Février 2025/Media"/>
    <x v="0"/>
    <x v="1"/>
    <n v="10000"/>
    <n v="16.773091934994206"/>
    <n v="596.19299999999998"/>
    <x v="0"/>
    <s v="CA-F-R24"/>
    <s v="PALF"/>
    <s v="Rufford"/>
    <s v="CONGO"/>
    <m/>
    <m/>
    <m/>
  </r>
  <r>
    <d v="2025-02-14T00:00:00"/>
    <s v="Achat credit  teléphonique Airtel/PALF/Deuxième partie du mois de Février 2025/Legal"/>
    <x v="0"/>
    <x v="2"/>
    <n v="5000"/>
    <n v="8.3865459674971028"/>
    <n v="596.19299999999998"/>
    <x v="0"/>
    <s v="CA-F-R25"/>
    <s v="PALF"/>
    <s v="Rufford"/>
    <s v="CONGO"/>
    <m/>
    <m/>
    <m/>
  </r>
  <r>
    <d v="2025-02-14T00:00:00"/>
    <s v="Frais de transfert d'argent à T73,P29 et Abraham"/>
    <x v="8"/>
    <x v="4"/>
    <n v="11310"/>
    <n v="18.970366978478445"/>
    <n v="596.19299999999998"/>
    <x v="12"/>
    <s v="CA-F-R19"/>
    <s v="PALF"/>
    <s v="Rufford"/>
    <s v="CONGO"/>
    <m/>
    <m/>
    <m/>
  </r>
  <r>
    <d v="2025-02-14T00:00:00"/>
    <s v="Cumul frais de trust building du mois de Février 2025/G12"/>
    <x v="9"/>
    <x v="2"/>
    <n v="4000"/>
    <n v="6.7092367739976817"/>
    <n v="596.19299999999998"/>
    <x v="7"/>
    <s v="G12-F-D2"/>
    <s v="PALF"/>
    <s v="Rufford"/>
    <s v="CONGO"/>
    <m/>
    <m/>
    <m/>
  </r>
  <r>
    <d v="2025-02-14T00:00:00"/>
    <s v="Achat billet Madingou - brazzaville/G12"/>
    <x v="1"/>
    <x v="2"/>
    <n v="7000"/>
    <n v="11.741164354495943"/>
    <n v="596.19299999999998"/>
    <x v="7"/>
    <s v="G12-F-R8"/>
    <s v="PALF"/>
    <s v="Rufford"/>
    <s v="CONGO"/>
    <m/>
    <m/>
    <m/>
  </r>
  <r>
    <d v="2025-02-14T00:00:00"/>
    <s v="Achat Billet Brazzaville-Owando/Romain"/>
    <x v="1"/>
    <x v="1"/>
    <n v="7000"/>
    <n v="11.741164354495943"/>
    <n v="596.19299999999998"/>
    <x v="2"/>
    <s v="RM-F-R4"/>
    <s v="PALF"/>
    <s v="Rufford"/>
    <s v="CONGO"/>
    <m/>
    <m/>
    <m/>
  </r>
  <r>
    <d v="2025-02-14T00:00:00"/>
    <s v="Cumul frais de jail visits du mois de Février 2025/Roderlin"/>
    <x v="12"/>
    <x v="1"/>
    <n v="20000"/>
    <n v="33.546183869988411"/>
    <n v="596.19299999999998"/>
    <x v="3"/>
    <s v="RO-F-D3"/>
    <s v="PALF"/>
    <s v="Rufford"/>
    <s v="CONGO"/>
    <m/>
    <m/>
    <m/>
  </r>
  <r>
    <d v="2025-02-14T00:00:00"/>
    <s v="Achat billet, Brazzaville-Owando/Evariste"/>
    <x v="1"/>
    <x v="3"/>
    <n v="7000"/>
    <n v="11.741164354495943"/>
    <n v="596.19299999999998"/>
    <x v="8"/>
    <s v="EV-F-R1"/>
    <s v="PALF"/>
    <s v="Rufford"/>
    <s v="CONGO"/>
    <m/>
    <m/>
    <m/>
  </r>
  <r>
    <d v="2025-02-15T00:00:00"/>
    <s v="DOVI -CONGO Ration du 15 Février 2025 au 25 Février 2025 soit 10 nuitées"/>
    <x v="5"/>
    <x v="0"/>
    <n v="100000"/>
    <n v="167.73091934994204"/>
    <n v="596.19299999999998"/>
    <x v="10"/>
    <s v="DH-F-D1"/>
    <s v="PALF"/>
    <s v="Rufford"/>
    <s v="CONGO"/>
    <m/>
    <m/>
    <m/>
  </r>
  <r>
    <d v="2025-02-15T00:00:00"/>
    <s v="CREPIN - CONGO Ration du 15/02/ au 05/03/2025 à Owando (18 nuitées)"/>
    <x v="5"/>
    <x v="1"/>
    <n v="180000"/>
    <n v="301.91565482989569"/>
    <n v="596.19299999999998"/>
    <x v="11"/>
    <s v="CR-F-D1"/>
    <s v="PALF"/>
    <s v="Rufford"/>
    <s v="CONGO"/>
    <m/>
    <m/>
    <m/>
  </r>
  <r>
    <d v="2025-02-15T00:00:00"/>
    <s v="IT87 - CONGO Ration du 15 au 22/02/2025 à Madingou, Mouyondzi et Loutété"/>
    <x v="5"/>
    <x v="2"/>
    <n v="70000"/>
    <n v="117.41164354495943"/>
    <n v="596.19299999999998"/>
    <x v="5"/>
    <s v="IT87-F-D2"/>
    <s v="PALF"/>
    <s v="Rufford"/>
    <s v="CONGO"/>
    <m/>
    <m/>
    <m/>
  </r>
  <r>
    <d v="2025-02-15T00:00:00"/>
    <s v="Achat billet Brazzaville - Madingou/ IT87"/>
    <x v="1"/>
    <x v="2"/>
    <n v="7000"/>
    <n v="11.741164354495943"/>
    <n v="596.19299999999998"/>
    <x v="5"/>
    <s v="IT87-F-R7"/>
    <s v="PALF"/>
    <s v="Rufford"/>
    <s v="CONGO"/>
    <m/>
    <m/>
    <m/>
  </r>
  <r>
    <d v="2025-02-15T00:00:00"/>
    <s v="G12 CONGO frais d'hotel du 13 au 15 /02/2025(02 Nuitées)"/>
    <x v="5"/>
    <x v="2"/>
    <n v="30000"/>
    <n v="50.319275804982617"/>
    <n v="596.19299999999998"/>
    <x v="7"/>
    <s v="G12-F-R9"/>
    <s v="PALF"/>
    <s v="Rufford"/>
    <s v="CONGO"/>
    <m/>
    <m/>
    <m/>
  </r>
  <r>
    <d v="2025-02-15T00:00:00"/>
    <s v="ROMAIN - CONGO Ration du 15/02/ au 04/03/2025 à Owando(14 Nuitées)"/>
    <x v="5"/>
    <x v="1"/>
    <n v="170000"/>
    <n v="285.14256289490152"/>
    <n v="596.19299999999998"/>
    <x v="2"/>
    <s v="RM-F-D2"/>
    <s v="PALF"/>
    <s v="Rufford"/>
    <s v="CONGO"/>
    <m/>
    <m/>
    <m/>
  </r>
  <r>
    <d v="2025-02-15T00:00:00"/>
    <s v="ABRAHAM - CONGO frais d'Hôtel (Hôtel Case Mbali) du 12 au 15/02/2025 Owando (03Nuitées)"/>
    <x v="5"/>
    <x v="1"/>
    <n v="45000"/>
    <n v="75.478913707473922"/>
    <n v="596.19299999999998"/>
    <x v="9"/>
    <s v="AB-F-R2"/>
    <s v="PALF"/>
    <s v="Rufford"/>
    <s v="CONGO"/>
    <m/>
    <m/>
    <m/>
  </r>
  <r>
    <d v="2025-02-15T00:00:00"/>
    <s v="RODERLIN-CONGO frais d'hôtel du 13 au 15/02/2025 à Sibiti (02 nuitées)"/>
    <x v="5"/>
    <x v="1"/>
    <n v="30000"/>
    <n v="50.319275804982617"/>
    <n v="596.19299999999998"/>
    <x v="3"/>
    <s v="RO-F-R5"/>
    <s v="PALF"/>
    <s v="Rufford"/>
    <s v="CONGO"/>
    <m/>
    <m/>
    <m/>
  </r>
  <r>
    <d v="2025-02-15T00:00:00"/>
    <s v="Taxi: Sibiti-Loudima /Roderlin"/>
    <x v="1"/>
    <x v="1"/>
    <n v="4000"/>
    <n v="6.7092367739976817"/>
    <n v="596.19299999999998"/>
    <x v="3"/>
    <s v="RO-F-R7"/>
    <s v="PALF"/>
    <s v="Rufford"/>
    <s v="CONGO"/>
    <m/>
    <m/>
    <m/>
  </r>
  <r>
    <d v="2025-02-15T00:00:00"/>
    <s v="Achat billet Loudima-Brazzaville /Roderlin"/>
    <x v="1"/>
    <x v="1"/>
    <n v="7000"/>
    <n v="11.741164354495943"/>
    <n v="596.19299999999998"/>
    <x v="3"/>
    <s v="RO-F-R8"/>
    <s v="PALF"/>
    <s v="Rufford"/>
    <s v="CONGO"/>
    <m/>
    <m/>
    <m/>
  </r>
  <r>
    <d v="2025-02-15T00:00:00"/>
    <s v="EVARISTE - CONGO Ration du 15 au 28 février 2025, mission d'Owando (13 nuitées)"/>
    <x v="5"/>
    <x v="3"/>
    <n v="130000"/>
    <n v="218.05019515492467"/>
    <n v="596.19299999999998"/>
    <x v="8"/>
    <s v="EV-F-D1"/>
    <s v="PALF"/>
    <s v="Rufford"/>
    <s v="CONGO"/>
    <m/>
    <m/>
    <m/>
  </r>
  <r>
    <d v="2025-02-17T00:00:00"/>
    <s v="Achat credit téléphonique pour P29/Appel trust à l'international"/>
    <x v="0"/>
    <x v="2"/>
    <n v="15000"/>
    <n v="25.159637902491308"/>
    <n v="596.19299999999998"/>
    <x v="0"/>
    <s v="CA-F-R26"/>
    <s v="PALF"/>
    <s v="Rufford"/>
    <s v="CONGO"/>
    <m/>
    <m/>
    <m/>
  </r>
  <r>
    <d v="2025-02-18T00:00:00"/>
    <s v="Frais de transfert d'argent à Crepin"/>
    <x v="8"/>
    <x v="4"/>
    <n v="9000"/>
    <n v="15.095782741494785"/>
    <n v="596.19299999999998"/>
    <x v="12"/>
    <s v="CA-F-R27"/>
    <s v="PALF"/>
    <s v="Rufford"/>
    <s v="CONGO"/>
    <m/>
    <m/>
    <m/>
  </r>
  <r>
    <d v="2025-02-18T00:00:00"/>
    <s v="IT87 - CONGO Frais d'hôtel Dzongo Bénoît du 15 au 18/02/2025 à Madingou (03 nuitées)"/>
    <x v="5"/>
    <x v="2"/>
    <n v="45000"/>
    <n v="75.478913707473922"/>
    <n v="596.19299999999998"/>
    <x v="5"/>
    <s v="IT87-F-R8"/>
    <s v="PALF"/>
    <s v="Rufford"/>
    <s v="CONGO"/>
    <m/>
    <m/>
    <m/>
  </r>
  <r>
    <d v="2025-02-18T00:00:00"/>
    <s v="Achat billet Madingou - Mouyondzi/ IT87"/>
    <x v="1"/>
    <x v="2"/>
    <n v="4000"/>
    <n v="6.7092367739976817"/>
    <n v="596.19299999999998"/>
    <x v="5"/>
    <s v="IT87-F-R9"/>
    <s v="PALF"/>
    <s v="Rufford"/>
    <s v="CONGO"/>
    <m/>
    <m/>
    <m/>
  </r>
  <r>
    <d v="2025-02-18T00:00:00"/>
    <s v="Frais de mission maitre BANZOUZI à Owando du 19 au 21/02/205 suivi audience cas MONICK"/>
    <x v="2"/>
    <x v="1"/>
    <n v="70000"/>
    <n v="117.41164354495943"/>
    <n v="596.19299999999998"/>
    <x v="3"/>
    <s v="CA-F-R28"/>
    <s v="PALF"/>
    <s v="Rufford"/>
    <s v="CONGO"/>
    <m/>
    <m/>
    <m/>
  </r>
  <r>
    <d v="2025-02-19T00:00:00"/>
    <s v="Bonus à un informateur en RDC"/>
    <x v="9"/>
    <x v="2"/>
    <n v="30000"/>
    <n v="50.319275804982617"/>
    <n v="596.19299999999998"/>
    <x v="0"/>
    <s v="CA-F-R29"/>
    <s v="PALF"/>
    <s v="Rufford"/>
    <s v="CONGO"/>
    <m/>
    <m/>
    <m/>
  </r>
  <r>
    <d v="2025-02-19T00:00:00"/>
    <s v="Frais de transfert bonus à informateur"/>
    <x v="8"/>
    <x v="4"/>
    <n v="1952"/>
    <n v="3.2741075457108688"/>
    <n v="596.19299999999998"/>
    <x v="0"/>
    <s v="CA-F-R30"/>
    <s v="PALF"/>
    <s v="Rufford"/>
    <s v="CONGO"/>
    <m/>
    <m/>
    <m/>
  </r>
  <r>
    <d v="2025-02-19T00:00:00"/>
    <s v="Frais de transfert d'argent à Abraham"/>
    <x v="8"/>
    <x v="4"/>
    <n v="14250"/>
    <n v="23.901656007366743"/>
    <n v="596.19299999999998"/>
    <x v="12"/>
    <s v="CA-F-R31"/>
    <s v="PALF"/>
    <s v="Rufford"/>
    <s v="CONGO"/>
    <m/>
    <m/>
    <m/>
  </r>
  <r>
    <d v="2025-02-20T00:00:00"/>
    <s v="IT87 - CONGO Frais d'hôtel DZA MATSAKA du 18 au 20/02/2025 à Mouyondzi (02 nuitées)"/>
    <x v="5"/>
    <x v="2"/>
    <n v="30000"/>
    <n v="50.319275804982617"/>
    <n v="596.19299999999998"/>
    <x v="5"/>
    <s v="IT87-F-R10"/>
    <s v="PALF"/>
    <s v="Rufford"/>
    <s v="CONGO"/>
    <m/>
    <m/>
    <m/>
  </r>
  <r>
    <d v="2025-02-20T00:00:00"/>
    <s v="Achat billet Mouyondzi - Loutété/ IT87"/>
    <x v="1"/>
    <x v="2"/>
    <n v="4000"/>
    <n v="6.7092367739976817"/>
    <n v="596.19299999999998"/>
    <x v="5"/>
    <s v="IT87-F-R11"/>
    <s v="PALF"/>
    <s v="Rufford"/>
    <s v="CONGO"/>
    <m/>
    <m/>
    <m/>
  </r>
  <r>
    <d v="2025-02-20T00:00:00"/>
    <s v="ABRAHAM - CONGO frais d'Hôtel  du 15au 20/02/2025 Owando (05Nuitées)"/>
    <x v="5"/>
    <x v="1"/>
    <n v="75000"/>
    <n v="125.79818951245655"/>
    <n v="596.19299999999998"/>
    <x v="9"/>
    <s v="AB-F-R5"/>
    <s v="PALF"/>
    <s v="Rufford"/>
    <s v="CONGO"/>
    <m/>
    <m/>
    <m/>
  </r>
  <r>
    <d v="2025-02-21T00:00:00"/>
    <s v="Frais de transfert d'argent"/>
    <x v="8"/>
    <x v="4"/>
    <n v="13615"/>
    <n v="22.83656466949461"/>
    <n v="596.19299999999998"/>
    <x v="3"/>
    <s v="CA-F-R32"/>
    <s v="PALF"/>
    <s v="Rufford"/>
    <s v="CONGO"/>
    <m/>
    <m/>
    <m/>
  </r>
  <r>
    <d v="2025-02-21T00:00:00"/>
    <s v="Frais de transfert d'argent à T73,P29 et Abraham"/>
    <x v="8"/>
    <x v="4"/>
    <n v="14700"/>
    <n v="24.656445144441481"/>
    <n v="596.19299999999998"/>
    <x v="3"/>
    <s v="CA-F-R43"/>
    <s v="PALF"/>
    <s v="Rufford"/>
    <s v="CONGO"/>
    <m/>
    <m/>
    <m/>
  </r>
  <r>
    <d v="2025-02-22T00:00:00"/>
    <s v="CREPIN - CONGO Hébergement à l'hôtel Essebo d'Owando, 07 Nuitées du 15 au 22/02/2025"/>
    <x v="5"/>
    <x v="1"/>
    <n v="105000"/>
    <n v="176.11746531743916"/>
    <n v="596.19299999999998"/>
    <x v="11"/>
    <s v="CR-F-R2"/>
    <s v="PALF"/>
    <s v="Rufford"/>
    <s v="CONGO"/>
    <m/>
    <m/>
    <m/>
  </r>
  <r>
    <d v="2025-02-22T00:00:00"/>
    <s v="T73 - CONGO Frais d'hotel du 10 au 22/02/2025 (12 nuitées ) à Owando"/>
    <x v="5"/>
    <x v="2"/>
    <n v="180000"/>
    <n v="301.91565482989569"/>
    <n v="596.19299999999998"/>
    <x v="6"/>
    <s v="T73-F-R5"/>
    <s v="PALF"/>
    <s v="Rufford"/>
    <s v="CONGO"/>
    <m/>
    <m/>
    <m/>
  </r>
  <r>
    <d v="2025-02-22T00:00:00"/>
    <s v="IT87 - CONGO Frais d'hôtel Clair Matin du 20 au 22/02/2025 à Loutété (02 nuitées)"/>
    <x v="5"/>
    <x v="2"/>
    <n v="30000"/>
    <n v="50.319275804982617"/>
    <n v="596.19299999999998"/>
    <x v="5"/>
    <s v="IT87-F-R12"/>
    <s v="PALF"/>
    <s v="Rufford"/>
    <s v="CONGO"/>
    <m/>
    <m/>
    <m/>
  </r>
  <r>
    <d v="2025-02-22T00:00:00"/>
    <s v="Achat billet Loutété - Brazzaville/ IT87"/>
    <x v="1"/>
    <x v="2"/>
    <n v="7000"/>
    <n v="11.741164354495943"/>
    <n v="596.19299999999998"/>
    <x v="5"/>
    <s v="IT87-F-R13"/>
    <s v="PALF"/>
    <s v="Rufford"/>
    <s v="CONGO"/>
    <m/>
    <m/>
    <m/>
  </r>
  <r>
    <d v="2025-02-23T00:00:00"/>
    <s v="Cumul frais de trust building du mois de Février 2025/T73"/>
    <x v="9"/>
    <x v="2"/>
    <n v="68000"/>
    <n v="114.0570251579606"/>
    <n v="596.19299999999998"/>
    <x v="6"/>
    <s v="T73-F-D2"/>
    <s v="PALF"/>
    <s v="Rufford"/>
    <s v="CONGO"/>
    <m/>
    <m/>
    <m/>
  </r>
  <r>
    <d v="2025-02-24T00:00:00"/>
    <s v="Plats et raffraichissements"/>
    <x v="5"/>
    <x v="5"/>
    <n v="10500"/>
    <n v="17.611746531743915"/>
    <n v="596.19299999999998"/>
    <x v="11"/>
    <s v="CR-F-R3"/>
    <s v="PALF"/>
    <s v="Rufford"/>
    <s v="CONGO"/>
    <m/>
    <m/>
    <m/>
  </r>
  <r>
    <d v="2025-02-24T00:00:00"/>
    <s v="01 bidon d'eau de 10 litres pour les OPJ sous instruction du Coordinateur"/>
    <x v="4"/>
    <x v="5"/>
    <n v="1500"/>
    <n v="2.5159637902491307"/>
    <n v="596.19299999999998"/>
    <x v="11"/>
    <s v="CR-F-D2"/>
    <s v="PALF"/>
    <s v="Rufford"/>
    <s v="CONGO"/>
    <m/>
    <m/>
    <m/>
  </r>
  <r>
    <d v="2025-02-24T00:00:00"/>
    <s v="Achat credit téléphonique pour le coordinateur"/>
    <x v="0"/>
    <x v="0"/>
    <n v="5000"/>
    <n v="8.3865459674971028"/>
    <n v="596.19299999999998"/>
    <x v="0"/>
    <s v="CA-F-R34"/>
    <s v="PALF"/>
    <s v="Rufford"/>
    <s v="CONGO"/>
    <m/>
    <m/>
    <m/>
  </r>
  <r>
    <d v="2025-02-24T00:00:00"/>
    <s v="P29 - CONGO Frais hotel du 10 au 24/02/2025 à owando/(14 Nuitées)"/>
    <x v="5"/>
    <x v="2"/>
    <n v="210000"/>
    <n v="352.23493063487831"/>
    <n v="596.19299999999998"/>
    <x v="1"/>
    <s v="P29-F-R8"/>
    <s v="PALF"/>
    <s v="Rufford"/>
    <s v="CONGO"/>
    <m/>
    <m/>
    <m/>
  </r>
  <r>
    <d v="2025-02-24T00:00:00"/>
    <s v="Location véhicule extraction owando-oyo/P29"/>
    <x v="1"/>
    <x v="2"/>
    <n v="50000"/>
    <n v="83.865459674971021"/>
    <n v="596.19299999999998"/>
    <x v="1"/>
    <s v="P29-F-R9"/>
    <s v="PALF"/>
    <s v="Rufford"/>
    <s v="CONGO"/>
    <m/>
    <m/>
    <m/>
  </r>
  <r>
    <d v="2025-02-24T00:00:00"/>
    <s v="Locaation vehicule 1 pour extraction  du stade à la vouma/P29"/>
    <x v="1"/>
    <x v="2"/>
    <n v="8000"/>
    <n v="13.418473547995363"/>
    <n v="596.19299999999998"/>
    <x v="1"/>
    <s v="P29-F-R10"/>
    <s v="PALF"/>
    <s v="Rufford"/>
    <s v="CONGO"/>
    <m/>
    <m/>
    <m/>
  </r>
  <r>
    <d v="2025-02-24T00:00:00"/>
    <s v="Locaation vehicule 2  pour extraction de la vouma station AOGC/P29"/>
    <x v="1"/>
    <x v="2"/>
    <n v="8000"/>
    <n v="13.418473547995363"/>
    <n v="596.19299999999998"/>
    <x v="1"/>
    <s v="P29-F-R11"/>
    <s v="PALF"/>
    <s v="Rufford"/>
    <s v="CONGO"/>
    <m/>
    <m/>
    <m/>
  </r>
  <r>
    <d v="2025-02-24T00:00:00"/>
    <s v="Rafraichissement en attente opération "/>
    <x v="5"/>
    <x v="5"/>
    <n v="18000"/>
    <n v="30.191565482989571"/>
    <n v="596.19299999999998"/>
    <x v="2"/>
    <s v="RM-F-R5"/>
    <s v="PALF"/>
    <s v="Rufford"/>
    <s v="CONGO"/>
    <m/>
    <m/>
    <m/>
  </r>
  <r>
    <d v="2025-02-24T00:00:00"/>
    <s v="Carburant BJ Opération"/>
    <x v="1"/>
    <x v="5"/>
    <n v="25000"/>
    <n v="41.93272983748551"/>
    <n v="596.19299999999998"/>
    <x v="2"/>
    <s v="RM-F-R6"/>
    <s v="PALF"/>
    <s v="Rufford"/>
    <s v="CONGO"/>
    <m/>
    <m/>
    <m/>
  </r>
  <r>
    <d v="2025-02-24T00:00:00"/>
    <s v="Rafraîchissement attente OP"/>
    <x v="5"/>
    <x v="1"/>
    <n v="5100"/>
    <n v="8.5542768868470453"/>
    <n v="596.19299999999998"/>
    <x v="9"/>
    <s v="AB-F-R3"/>
    <s v="PALF"/>
    <s v="Rufford"/>
    <s v="CONGO"/>
    <m/>
    <m/>
    <m/>
  </r>
  <r>
    <d v="2025-02-24T00:00:00"/>
    <s v="Frais de transfert charden farell à Abraham"/>
    <x v="8"/>
    <x v="4"/>
    <n v="8100"/>
    <n v="13.586204467345306"/>
    <n v="596.19299999999998"/>
    <x v="3"/>
    <s v="CA-F-R33"/>
    <s v="PALF"/>
    <s v="Rufford"/>
    <s v="CONGO"/>
    <m/>
    <m/>
    <m/>
  </r>
  <r>
    <d v="2025-02-24T00:00:00"/>
    <s v="Rafraichissement de mon équipe lors de l'opération"/>
    <x v="5"/>
    <x v="5"/>
    <n v="9800"/>
    <n v="16.43763009629432"/>
    <n v="596.19299999999998"/>
    <x v="8"/>
    <s v="EV-F-D2"/>
    <s v="PALF"/>
    <s v="Rufford"/>
    <s v="CONGO"/>
    <m/>
    <m/>
    <m/>
  </r>
  <r>
    <d v="2025-02-25T00:00:00"/>
    <s v="Achat billet Owando -Brazzaville/DOVI"/>
    <x v="1"/>
    <x v="0"/>
    <n v="7000"/>
    <n v="11.741164354495943"/>
    <n v="596.19299999999998"/>
    <x v="10"/>
    <s v="DH-F-R4"/>
    <s v="PALF"/>
    <s v="Rufford"/>
    <s v="CONGO"/>
    <m/>
    <m/>
    <m/>
  </r>
  <r>
    <d v="2025-02-25T00:00:00"/>
    <s v="DOVI-CONGO Frais d'hôtel du 15 Février 2025 au 25 Février 2025 soit 10 nuitées à Owando(Hôtel Savouret)"/>
    <x v="5"/>
    <x v="0"/>
    <n v="150000"/>
    <n v="251.59637902491309"/>
    <n v="596.19299999999998"/>
    <x v="10"/>
    <s v="DH-F-R5"/>
    <s v="PALF"/>
    <s v="Rufford"/>
    <s v="CONGO"/>
    <m/>
    <m/>
    <m/>
  </r>
  <r>
    <d v="2025-02-25T00:00:00"/>
    <s v="Bonus pour 18 Gendarmes ayant participé à l'opération du 24/02/2025  à Owando"/>
    <x v="11"/>
    <x v="5"/>
    <n v="180000"/>
    <n v="301.91565482989569"/>
    <n v="596.19299999999998"/>
    <x v="11"/>
    <s v="CR-F-R4"/>
    <s v="PALF"/>
    <s v="Rufford"/>
    <s v="CONGO"/>
    <m/>
    <m/>
    <m/>
  </r>
  <r>
    <d v="2025-02-25T00:00:00"/>
    <s v="Bonus pour 02 EF ayant participé à l'opération du 24/02/2025  à Owando"/>
    <x v="11"/>
    <x v="5"/>
    <n v="20000"/>
    <n v="33.546183869988411"/>
    <n v="596.19299999999998"/>
    <x v="11"/>
    <s v="CR-F-R5"/>
    <s v="PALF"/>
    <s v="Rufford"/>
    <s v="CONGO"/>
    <m/>
    <m/>
    <m/>
  </r>
  <r>
    <d v="2025-02-25T00:00:00"/>
    <s v="P29 - CONGO Frais d'hotel du 22 au 25/02/2025  lieu op à owando(crepin)/03 Nuitées"/>
    <x v="5"/>
    <x v="5"/>
    <n v="105000"/>
    <n v="176.11746531743916"/>
    <n v="596.19299999999998"/>
    <x v="1"/>
    <s v="P29-F-R12"/>
    <s v="PALF"/>
    <s v="Rufford"/>
    <s v="CONGO"/>
    <m/>
    <m/>
    <m/>
  </r>
  <r>
    <d v="2025-02-25T00:00:00"/>
    <s v="P29 - CONGO Frais d'hotel du 22 au 25/02/2025  lieu op à owando(T73)/03 Nuitées)"/>
    <x v="5"/>
    <x v="5"/>
    <n v="105000"/>
    <n v="176.11746531743916"/>
    <n v="596.19299999999998"/>
    <x v="1"/>
    <s v="P29-F-R13"/>
    <s v="PALF"/>
    <s v="Rufford"/>
    <s v="CONGO"/>
    <m/>
    <m/>
    <m/>
  </r>
  <r>
    <d v="2025-02-25T00:00:00"/>
    <s v="Achat billet Brazzaville - Loutété/ IT87"/>
    <x v="1"/>
    <x v="2"/>
    <n v="7000"/>
    <n v="11.741164354495943"/>
    <n v="596.19299999999998"/>
    <x v="5"/>
    <s v="IT87-F-R14"/>
    <s v="PALF"/>
    <s v="Rufford"/>
    <s v="CONGO"/>
    <m/>
    <m/>
    <m/>
  </r>
  <r>
    <d v="2025-02-25T00:00:00"/>
    <s v="ROMAIN - CONGO - Frais d'hôtel du 15 au 25/02/2025 à Owando(10 Nuitées)"/>
    <x v="5"/>
    <x v="1"/>
    <n v="150000"/>
    <n v="251.59637902491309"/>
    <n v="596.19299999999998"/>
    <x v="2"/>
    <s v="RM-F-R8"/>
    <s v="PALF"/>
    <s v="Rufford"/>
    <s v="CONGO"/>
    <m/>
    <m/>
    <m/>
  </r>
  <r>
    <d v="2025-02-25T00:00:00"/>
    <s v="EVARISTE - CONGO Frais de l'hôtel du 15 au 25 février 2025 à Owando (10 nuitées)"/>
    <x v="5"/>
    <x v="3"/>
    <n v="150000"/>
    <n v="251.59637902491309"/>
    <n v="596.19299999999998"/>
    <x v="8"/>
    <s v="EV-F-R2"/>
    <s v="PALF"/>
    <s v="Rufford"/>
    <s v="CONGO"/>
    <m/>
    <m/>
    <m/>
  </r>
  <r>
    <d v="2025-02-26T00:00:00"/>
    <s v="Frais de mission à Owando de maitre Alain du 27/02 au 04/03/2025"/>
    <x v="2"/>
    <x v="1"/>
    <n v="148000"/>
    <n v="248.24176063791424"/>
    <n v="596.19299999999998"/>
    <x v="0"/>
    <s v="CA-F-R35"/>
    <s v="PALF"/>
    <s v="Rufford"/>
    <s v="CONGO"/>
    <m/>
    <m/>
    <m/>
  </r>
  <r>
    <d v="2025-02-26T00:00:00"/>
    <s v="Frais de transfert d'argent à Abraham"/>
    <x v="8"/>
    <x v="4"/>
    <n v="10980"/>
    <n v="18.416854944623637"/>
    <n v="596.19299999999998"/>
    <x v="12"/>
    <s v="CA-F-R44"/>
    <s v="PALF"/>
    <s v="Rufford"/>
    <s v="CONGO"/>
    <m/>
    <m/>
    <m/>
  </r>
  <r>
    <d v="2025-02-26T00:00:00"/>
    <s v="IT87 - CONGO Ration  du 26 au 28/02/2025 à Loutété"/>
    <x v="5"/>
    <x v="2"/>
    <n v="20000"/>
    <n v="33.546183869988411"/>
    <n v="596.19299999999998"/>
    <x v="5"/>
    <s v="IT87-F-D3"/>
    <s v="PALF"/>
    <s v="Rufford"/>
    <s v="CONGO"/>
    <m/>
    <m/>
    <m/>
  </r>
  <r>
    <d v="2025-02-26T00:00:00"/>
    <s v="Cumul frais de transport local du mois Février 2025/G12"/>
    <x v="1"/>
    <x v="2"/>
    <n v="40100"/>
    <n v="67.260098659326758"/>
    <n v="596.19299999999998"/>
    <x v="7"/>
    <s v="G12-F-D3"/>
    <s v="PALF"/>
    <s v="Rufford"/>
    <s v="CONGO"/>
    <m/>
    <m/>
    <m/>
  </r>
  <r>
    <d v="2025-02-26T00:00:00"/>
    <s v="Achat médicaments du prévenu Dodo"/>
    <x v="12"/>
    <x v="1"/>
    <n v="4000"/>
    <n v="6.7092367739976817"/>
    <n v="596.19299999999998"/>
    <x v="9"/>
    <s v="AB-F-R4"/>
    <s v="PALF"/>
    <s v="Rufford"/>
    <s v="CONGO"/>
    <m/>
    <m/>
    <m/>
  </r>
  <r>
    <d v="2025-02-27T00:00:00"/>
    <s v="Reglement prestation de nettoyage jardin PALF du mois de Février 2025"/>
    <x v="3"/>
    <x v="4"/>
    <n v="20000"/>
    <n v="33.546183869988411"/>
    <n v="596.19299999999998"/>
    <x v="0"/>
    <s v="CA-F-R36"/>
    <s v="PALF"/>
    <s v="Rufford"/>
    <s v="CONGO"/>
    <m/>
    <m/>
    <m/>
  </r>
  <r>
    <d v="2025-02-27T00:00:00"/>
    <s v="Cumul frais de Trust building du mois de Février 2025/IT87"/>
    <x v="9"/>
    <x v="2"/>
    <n v="29000"/>
    <n v="48.641966611483198"/>
    <n v="596.19299999999998"/>
    <x v="5"/>
    <s v="IT87-F-D4"/>
    <s v="PALF"/>
    <s v="Rufford"/>
    <s v="CONGO"/>
    <m/>
    <m/>
    <m/>
  </r>
  <r>
    <d v="2025-02-27T00:00:00"/>
    <s v="Cumul frais de transport local du mois de Février 2025/Roderlin"/>
    <x v="1"/>
    <x v="1"/>
    <n v="26900"/>
    <n v="45.119617305134412"/>
    <n v="596.19299999999998"/>
    <x v="3"/>
    <s v="RO-F-D4"/>
    <s v="PALF"/>
    <s v="Rufford"/>
    <s v="CONGO"/>
    <m/>
    <m/>
    <m/>
  </r>
  <r>
    <d v="2025-02-27T00:00:00"/>
    <s v="Frais de transfert d'argent à IT87"/>
    <x v="8"/>
    <x v="4"/>
    <n v="560"/>
    <n v="0.93929314835967548"/>
    <n v="596.19299999999998"/>
    <x v="3"/>
    <s v="CA-F-R37"/>
    <s v="PALF"/>
    <s v="Wildcat"/>
    <s v="CONGO"/>
    <m/>
    <m/>
    <m/>
  </r>
  <r>
    <d v="2025-02-28T00:00:00"/>
    <s v="Cumul frais de transport local du mois de Février 2025/DOVI"/>
    <x v="1"/>
    <x v="0"/>
    <n v="39500"/>
    <n v="66.253713143227117"/>
    <n v="596.19299999999998"/>
    <x v="10"/>
    <s v="DH-F-D2"/>
    <s v="PALF"/>
    <s v="Rufford"/>
    <s v="CONGO"/>
    <m/>
    <m/>
    <m/>
  </r>
  <r>
    <d v="2025-02-28T00:00:00"/>
    <s v="Cumul frais de transport local du mois de Février 2025/Crepin IBOUILI IBOUILI"/>
    <x v="1"/>
    <x v="1"/>
    <n v="14000"/>
    <n v="23.482328708991886"/>
    <n v="596.19299999999998"/>
    <x v="11"/>
    <s v="CR-F-D3"/>
    <s v="PALF"/>
    <s v="Rufford"/>
    <s v="CONGO"/>
    <m/>
    <m/>
    <m/>
  </r>
  <r>
    <d v="2025-02-28T00:00:00"/>
    <s v="Cumul frais de transport local du mois de Février 2025/Merveille"/>
    <x v="1"/>
    <x v="4"/>
    <n v="35500"/>
    <n v="59.544476369229429"/>
    <n v="596.19299999999998"/>
    <x v="0"/>
    <s v="ME-F-D1"/>
    <s v="PALF"/>
    <s v="Rufford"/>
    <s v="CONGO"/>
    <m/>
    <m/>
    <m/>
  </r>
  <r>
    <d v="2025-02-28T00:00:00"/>
    <s v="Ramassage ordure du mois Février 2025/Bureau PALF"/>
    <x v="3"/>
    <x v="4"/>
    <n v="6000"/>
    <n v="10.063855160996523"/>
    <n v="596.19299999999998"/>
    <x v="0"/>
    <s v="CA-F-R38"/>
    <s v="PALF"/>
    <s v="Rufford"/>
    <s v="CONGO"/>
    <m/>
    <m/>
    <m/>
  </r>
  <r>
    <d v="2025-02-28T00:00:00"/>
    <s v="Reglement facture internet periode du 01/03 au 31/03/2025 bureau PALF"/>
    <x v="13"/>
    <x v="4"/>
    <n v="45050"/>
    <n v="75.562779167148889"/>
    <n v="596.19299999999998"/>
    <x v="0"/>
    <s v="CA-F-R39"/>
    <s v="PALF"/>
    <s v="Rufford"/>
    <s v="CONGO"/>
    <m/>
    <m/>
    <m/>
  </r>
  <r>
    <d v="2025-02-28T00:00:00"/>
    <s v="Achat fourniture de bureau/Classeurs,stylo,intercalaire,rame papier,surligneur,chemise cartonnée"/>
    <x v="4"/>
    <x v="4"/>
    <n v="182000"/>
    <n v="305.27027321689457"/>
    <n v="596.19299999999998"/>
    <x v="0"/>
    <s v="CA-F-R41"/>
    <s v="PALF"/>
    <s v="Rufford"/>
    <s v="CONGO"/>
    <m/>
    <m/>
    <m/>
  </r>
  <r>
    <d v="2025-02-28T00:00:00"/>
    <s v="Frais de carte de travail Parfaite"/>
    <x v="10"/>
    <x v="4"/>
    <n v="10500"/>
    <n v="17.611746531743915"/>
    <n v="596.19299999999998"/>
    <x v="0"/>
    <s v="CA-F-R42"/>
    <s v="PALF"/>
    <s v="Rufford"/>
    <s v="CONGO"/>
    <m/>
    <m/>
    <m/>
  </r>
  <r>
    <d v="2025-02-28T00:00:00"/>
    <s v="Cumul frais de transport local du mois de Février 2025/Parfaite"/>
    <x v="1"/>
    <x v="4"/>
    <n v="7000"/>
    <n v="11.741164354495943"/>
    <n v="596.19299999999998"/>
    <x v="12"/>
    <s v="P-F-D1"/>
    <s v="PALF"/>
    <s v="Wildcat"/>
    <s v="CONGO"/>
    <m/>
    <m/>
    <m/>
  </r>
  <r>
    <d v="2025-02-28T00:00:00"/>
    <s v="Frais de transfert d'argent à Romain"/>
    <x v="8"/>
    <x v="4"/>
    <n v="7020"/>
    <n v="11.774710538365932"/>
    <n v="596.19299999999998"/>
    <x v="12"/>
    <s v="CA-F-R45"/>
    <s v="PALF"/>
    <s v="Rufford"/>
    <s v="CONGO"/>
    <m/>
    <m/>
    <m/>
  </r>
  <r>
    <d v="2025-02-28T00:00:00"/>
    <s v="Règlement prestation technicienne de surface (mois de Février 2025)"/>
    <x v="3"/>
    <x v="4"/>
    <n v="75625"/>
    <n v="126.84650775839368"/>
    <n v="596.19299999999998"/>
    <x v="12"/>
    <s v="CA-F-R40"/>
    <s v="PALF"/>
    <s v="Rufford"/>
    <s v="CONGO"/>
    <m/>
    <m/>
    <m/>
  </r>
  <r>
    <d v="2025-02-28T00:00:00"/>
    <s v="Achat billet billet oyo-brazzaville/P29"/>
    <x v="1"/>
    <x v="2"/>
    <n v="6000"/>
    <n v="10.063855160996523"/>
    <n v="596.19299999999998"/>
    <x v="1"/>
    <s v="P29-F-R14"/>
    <s v="PALF"/>
    <s v="Rufford"/>
    <s v="CONGO"/>
    <m/>
    <m/>
    <m/>
  </r>
  <r>
    <d v="2025-02-28T00:00:00"/>
    <s v="P29 - CONGO Frais d'hotel du 24 au 28/02/2025  à Oyo(04 Nuitées)"/>
    <x v="5"/>
    <x v="2"/>
    <n v="60000"/>
    <n v="100.63855160996523"/>
    <n v="596.19299999999998"/>
    <x v="1"/>
    <s v="P29-F-R15"/>
    <s v="PALF"/>
    <s v="Rufford"/>
    <s v="CONGO"/>
    <m/>
    <m/>
    <m/>
  </r>
  <r>
    <d v="2025-02-28T00:00:00"/>
    <s v="Cumul frais de transport local du mois de Février 2025/P29"/>
    <x v="1"/>
    <x v="2"/>
    <n v="66800"/>
    <n v="112.0442541257613"/>
    <n v="596.19299999999998"/>
    <x v="1"/>
    <s v="P29-F-D3"/>
    <s v="PALF"/>
    <s v="Rufford"/>
    <s v="CONGO"/>
    <m/>
    <m/>
    <m/>
  </r>
  <r>
    <d v="2025-02-28T00:00:00"/>
    <s v="T73 - CONGO Frais d'hotel du 24 au 28/02/2025 (04 nuitées ) à Oyo"/>
    <x v="5"/>
    <x v="2"/>
    <n v="60000"/>
    <n v="100.63855160996523"/>
    <n v="596.19299999999998"/>
    <x v="6"/>
    <s v="T73-F-R6"/>
    <s v="PALF"/>
    <s v="Rufford"/>
    <s v="CONGO"/>
    <m/>
    <m/>
    <m/>
  </r>
  <r>
    <d v="2025-02-28T00:00:00"/>
    <s v="Achat billet : Oyo - Brazzaville /T73"/>
    <x v="1"/>
    <x v="2"/>
    <n v="6000"/>
    <n v="10.063855160996523"/>
    <n v="596.19299999999998"/>
    <x v="6"/>
    <s v="T73-F-R7"/>
    <s v="PALF"/>
    <s v="Rufford"/>
    <s v="CONGO"/>
    <m/>
    <m/>
    <m/>
  </r>
  <r>
    <d v="2025-02-28T00:00:00"/>
    <s v="Cumul frais de transport local du mois de Février 2025/T73"/>
    <x v="1"/>
    <x v="2"/>
    <n v="53700"/>
    <n v="90.071503690918888"/>
    <n v="596.19299999999998"/>
    <x v="6"/>
    <s v="T73-F-D3"/>
    <s v="PALF"/>
    <s v="Rufford"/>
    <s v="CONGO"/>
    <m/>
    <m/>
    <m/>
  </r>
  <r>
    <d v="2025-02-28T00:00:00"/>
    <s v="IT87 - CONGO Frais d'hôtel Clair Matin du 26 au 28/02/2025 à Loutété (02 nuitées)"/>
    <x v="5"/>
    <x v="2"/>
    <n v="30000"/>
    <n v="50.319275804982617"/>
    <n v="596.19299999999998"/>
    <x v="5"/>
    <s v="IT87-F-R15"/>
    <s v="PALF"/>
    <s v="Rufford"/>
    <s v="CONGO"/>
    <m/>
    <m/>
    <m/>
  </r>
  <r>
    <d v="2025-02-28T00:00:00"/>
    <s v="Achat billet Loutété - Brazzaville/ IT87"/>
    <x v="1"/>
    <x v="2"/>
    <n v="7000"/>
    <n v="11.741164354495943"/>
    <n v="596.19299999999998"/>
    <x v="5"/>
    <s v="IT87-F-R16"/>
    <s v="PALF"/>
    <s v="Rufford"/>
    <s v="CONGO"/>
    <m/>
    <m/>
    <m/>
  </r>
  <r>
    <d v="2025-02-28T00:00:00"/>
    <s v="Cumul frais de Transport local du mois de Février 2025/IT87"/>
    <x v="1"/>
    <x v="2"/>
    <n v="66500"/>
    <n v="111.54106136771146"/>
    <n v="596.19299999999998"/>
    <x v="5"/>
    <s v="IT87-F-D5"/>
    <s v="PALF"/>
    <s v="Rufford"/>
    <s v="CONGO"/>
    <m/>
    <m/>
    <m/>
  </r>
  <r>
    <d v="2025-02-28T00:00:00"/>
    <s v="Impréssion de la procédure de la Gendarmerie"/>
    <x v="4"/>
    <x v="1"/>
    <n v="24675"/>
    <n v="41.387604349598199"/>
    <n v="596.19299999999998"/>
    <x v="2"/>
    <s v="RM-F-R7"/>
    <s v="PALF"/>
    <s v="Rufford"/>
    <s v="CONGO"/>
    <m/>
    <m/>
    <m/>
  </r>
  <r>
    <d v="2025-02-28T00:00:00"/>
    <s v="Cumul frais de transport local du mois de Février 2025/Romain"/>
    <x v="1"/>
    <x v="1"/>
    <n v="35500"/>
    <n v="59.544476369229429"/>
    <n v="596.19299999999998"/>
    <x v="2"/>
    <s v="RM-F-D3"/>
    <s v="PALF"/>
    <s v="Rufford"/>
    <s v="CONGO"/>
    <m/>
    <m/>
    <m/>
  </r>
  <r>
    <d v="2025-02-28T00:00:00"/>
    <s v="Cumul frais de jail visits du mois de Février 2025/Abraham"/>
    <x v="12"/>
    <x v="1"/>
    <n v="18000"/>
    <n v="30.191565482989571"/>
    <n v="596.19299999999998"/>
    <x v="9"/>
    <s v="AB-F-D2"/>
    <s v="PALF"/>
    <s v="Rufford"/>
    <s v="CONGO"/>
    <m/>
    <m/>
    <m/>
  </r>
  <r>
    <d v="2025-02-28T00:00:00"/>
    <s v="Cumul frais de transport local du mois de Février 2025/Abraham"/>
    <x v="1"/>
    <x v="1"/>
    <n v="45000"/>
    <n v="75.478913707473922"/>
    <n v="596.19299999999998"/>
    <x v="9"/>
    <s v="AB-F-D3"/>
    <s v="PALF"/>
    <s v="Rufford"/>
    <s v="CONGO"/>
    <m/>
    <m/>
    <m/>
  </r>
  <r>
    <d v="2025-02-28T00:00:00"/>
    <s v="EVARISTE - CONGO Frais de l'hôtel du 25 au 28 février 2025 (3 nuitées) "/>
    <x v="5"/>
    <x v="3"/>
    <n v="45000"/>
    <n v="75.478913707473922"/>
    <n v="596.19299999999998"/>
    <x v="8"/>
    <s v="EV-F-R3"/>
    <s v="PALF"/>
    <s v="Rufford"/>
    <s v="CONGO"/>
    <m/>
    <m/>
    <m/>
  </r>
  <r>
    <d v="2025-02-28T00:00:00"/>
    <s v="Achat billet Owando-Brazzaville/Evariste"/>
    <x v="1"/>
    <x v="3"/>
    <n v="7000"/>
    <n v="11.741164354495943"/>
    <n v="596.19299999999998"/>
    <x v="8"/>
    <s v="EV-F-R4"/>
    <s v="PALF"/>
    <s v="Rufford"/>
    <s v="CONGO"/>
    <m/>
    <m/>
    <m/>
  </r>
  <r>
    <d v="2025-02-28T00:00:00"/>
    <s v="Cumul frais de transport local du mois de Février 2025/Evariste"/>
    <x v="1"/>
    <x v="3"/>
    <n v="33500"/>
    <n v="56.189857982230585"/>
    <n v="596.19299999999998"/>
    <x v="8"/>
    <s v="EV-F-D3"/>
    <s v="PALF"/>
    <s v="Rufford"/>
    <s v="CONGO"/>
    <m/>
    <m/>
    <m/>
  </r>
  <r>
    <d v="2025-02-28T00:00:00"/>
    <s v="Bonus media portant sur l'interpellation de deux présumé trafiquants le 24/02/2025 à Owando"/>
    <x v="7"/>
    <x v="3"/>
    <n v="200000"/>
    <n v="335.46183869988408"/>
    <n v="596.19299999999998"/>
    <x v="8"/>
    <s v="CA-F-D13"/>
    <s v="PALF"/>
    <s v="Rufford"/>
    <s v="CONGO"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60">
  <r>
    <x v="0"/>
    <s v="Achat credit MTN/Benin pour internet  et communication"/>
    <s v="Telephone"/>
    <s v="Management"/>
    <x v="0"/>
    <x v="0"/>
    <n v="570.21500000000003"/>
    <s v="DOVI"/>
    <s v="DH-J-R1"/>
    <s v="PALF"/>
    <x v="0"/>
    <s v="CONGO"/>
    <x v="0"/>
    <x v="0"/>
    <m/>
  </r>
  <r>
    <x v="0"/>
    <s v="Achat credit  teléphonique MTN/PALF/Première partie du mois de Janvier 2025/Office"/>
    <s v="Telephone"/>
    <s v="Office"/>
    <x v="1"/>
    <x v="1"/>
    <n v="570.21500000000003"/>
    <s v="Merveille"/>
    <s v="CA-J-R1"/>
    <s v="PALF"/>
    <x v="0"/>
    <s v="CONGO"/>
    <x v="0"/>
    <x v="0"/>
    <m/>
  </r>
  <r>
    <x v="0"/>
    <s v="Achat credit  teléphonique MTN/PALF/Première partie du mois de Janvier 2025/Legal"/>
    <s v="Telephone"/>
    <s v="Legal"/>
    <x v="2"/>
    <x v="2"/>
    <n v="570.21500000000003"/>
    <s v="Merveille"/>
    <s v="CA-J-R2"/>
    <s v="PALF"/>
    <x v="0"/>
    <s v="CONGO"/>
    <x v="0"/>
    <x v="0"/>
    <m/>
  </r>
  <r>
    <x v="0"/>
    <s v="Achat credit  teléphonique MTN/PALF/Première partie du mois de Janvier 2025/Investigation"/>
    <s v="Telephone"/>
    <s v="Investigation"/>
    <x v="3"/>
    <x v="3"/>
    <n v="570.21500000000003"/>
    <s v="Merveille"/>
    <s v="CA-J-R3"/>
    <s v="PALF"/>
    <x v="0"/>
    <s v="CONGO"/>
    <x v="0"/>
    <x v="0"/>
    <m/>
  </r>
  <r>
    <x v="0"/>
    <s v="Achat credit  teléphonique MTN/PALF/Première partie du mois de Janvier 2025/Media"/>
    <s v="Telephone"/>
    <s v="Media"/>
    <x v="4"/>
    <x v="4"/>
    <n v="570.21500000000003"/>
    <s v="Merveille"/>
    <s v="CA-J-R4"/>
    <s v="PALF"/>
    <x v="0"/>
    <s v="CONGO"/>
    <x v="0"/>
    <x v="0"/>
    <m/>
  </r>
  <r>
    <x v="0"/>
    <s v="Achat credit  teléphonique Airtel/PALF/Première partie du mois de Janvier 2025/Legal"/>
    <s v="Telephone"/>
    <s v="Legal"/>
    <x v="4"/>
    <x v="4"/>
    <n v="570.21500000000003"/>
    <s v="Merveille"/>
    <s v="CA-J-R5"/>
    <s v="PALF"/>
    <x v="0"/>
    <s v="CONGO"/>
    <x v="0"/>
    <x v="0"/>
    <m/>
  </r>
  <r>
    <x v="0"/>
    <s v="Achat credit  teléphonique Airtel/PALF/Première partie du mois de Janvier 2025/Investigation"/>
    <s v="Telephone"/>
    <s v="Investigation"/>
    <x v="5"/>
    <x v="5"/>
    <n v="570.21500000000003"/>
    <s v="Merveille"/>
    <s v="CA-J-R6"/>
    <s v="PALF"/>
    <x v="0"/>
    <s v="CONGO"/>
    <x v="0"/>
    <x v="0"/>
    <m/>
  </r>
  <r>
    <x v="0"/>
    <s v="Achat credit  teléphonique Airtel/PALF/Première partie du mois de Janvier 2025/Media"/>
    <s v="Telephone"/>
    <s v="Media"/>
    <x v="6"/>
    <x v="6"/>
    <n v="570.21500000000003"/>
    <s v="Merveille"/>
    <s v="CA-J-R7"/>
    <s v="PALF"/>
    <x v="0"/>
    <s v="CONGO"/>
    <x v="0"/>
    <x v="0"/>
    <m/>
  </r>
  <r>
    <x v="1"/>
    <s v="Achat eau mineral 10 bidons de 16,5Litres pour le bureau PALF"/>
    <s v="Office Materiels"/>
    <s v="Office"/>
    <x v="7"/>
    <x v="7"/>
    <n v="570.21500000000003"/>
    <s v="Merveille"/>
    <s v="CA-J-R8"/>
    <s v="PALF"/>
    <x v="0"/>
    <s v="CONGO"/>
    <x v="0"/>
    <x v="0"/>
    <m/>
  </r>
  <r>
    <x v="2"/>
    <s v="Solde honoraire contrat n°79 Dolisie cas BOUTSANA et Consorts/ Maître BANZOUZI Alain"/>
    <s v="Lawyer Fees"/>
    <s v="Legal"/>
    <x v="8"/>
    <x v="8"/>
    <n v="570.21500000000003"/>
    <s v="BCI"/>
    <s v="BQ-J-R1"/>
    <s v="PALF"/>
    <x v="0"/>
    <s v="CONGO"/>
    <x v="0"/>
    <x v="0"/>
    <m/>
  </r>
  <r>
    <x v="2"/>
    <s v="Solde honoraire contrat n°67 Sibiti et Consorts/ Maître Helene"/>
    <s v="Lawyer Fees"/>
    <s v="Legal"/>
    <x v="8"/>
    <x v="8"/>
    <n v="570.21500000000003"/>
    <s v="BCI"/>
    <s v="BQ-J-R2"/>
    <s v="PALF"/>
    <x v="0"/>
    <s v="CONGO"/>
    <x v="0"/>
    <x v="0"/>
    <m/>
  </r>
  <r>
    <x v="2"/>
    <s v="Reglement loyer du mois de Décembre 2024/3654776"/>
    <s v="Rent &amp; Utilities"/>
    <s v="Office"/>
    <x v="9"/>
    <x v="9"/>
    <n v="596.19299999999998"/>
    <s v="BCI"/>
    <s v="BQ-J-R3"/>
    <s v="PALF"/>
    <x v="0"/>
    <s v="CONGO"/>
    <x v="0"/>
    <x v="0"/>
    <m/>
  </r>
  <r>
    <x v="2"/>
    <s v="Reglement Facture Gardiennage Mois de Décembre 2024/3654775"/>
    <s v="Service"/>
    <s v="Office"/>
    <x v="10"/>
    <x v="10"/>
    <n v="596.19299999999998"/>
    <s v="BCI"/>
    <s v="BQ-J-R13"/>
    <s v="PALF"/>
    <x v="0"/>
    <s v="CONGO"/>
    <x v="0"/>
    <x v="0"/>
    <m/>
  </r>
  <r>
    <x v="2"/>
    <s v="Paiement Honoraire Me LOCKO/Mois de Décembre 2024/3654777"/>
    <s v="Lawyer Fees"/>
    <s v="Legal"/>
    <x v="11"/>
    <x v="11"/>
    <n v="596.19299999999998"/>
    <s v="BCI"/>
    <s v="BQ-J-R14"/>
    <s v="PALF"/>
    <x v="0"/>
    <s v="CONGO"/>
    <x v="0"/>
    <x v="0"/>
    <m/>
  </r>
  <r>
    <x v="3"/>
    <s v="achat billet: Brazzaville - Owando/T73"/>
    <s v="Transport"/>
    <s v="Investigation"/>
    <x v="12"/>
    <x v="12"/>
    <n v="570.21500000000003"/>
    <s v="T73"/>
    <s v="T73-J-R1"/>
    <s v="PALF"/>
    <x v="0"/>
    <s v="CONGO"/>
    <x v="0"/>
    <x v="0"/>
    <m/>
  </r>
  <r>
    <x v="3"/>
    <s v="T73 - CONGO Food Allowance du 07 au 17/01/2025 (10 nuitées) à Owando et Oyo"/>
    <s v="Travel Subsistence"/>
    <s v="Investigation"/>
    <x v="13"/>
    <x v="13"/>
    <n v="570.21500000000003"/>
    <s v="T73"/>
    <s v="T73-J-D1"/>
    <s v="PALF"/>
    <x v="0"/>
    <s v="CONGO"/>
    <x v="0"/>
    <x v="0"/>
    <m/>
  </r>
  <r>
    <x v="4"/>
    <s v="Achat billet d'Avion Retour Cotonou - Brazzaville/DOVI"/>
    <s v="Transport"/>
    <s v="Management"/>
    <x v="14"/>
    <x v="14"/>
    <n v="570.21500000000003"/>
    <s v="DOVI"/>
    <s v="DH-J-R2"/>
    <s v="PALF"/>
    <x v="0"/>
    <s v="CONGO"/>
    <x v="0"/>
    <x v="0"/>
    <m/>
  </r>
  <r>
    <x v="4"/>
    <s v="Frais de transfert d'argent à DOVI"/>
    <s v="Transfert fees"/>
    <s v="Office"/>
    <x v="15"/>
    <x v="15"/>
    <n v="570.21500000000003"/>
    <s v="Merveille"/>
    <s v="CA-J-R9"/>
    <s v="PALF"/>
    <x v="0"/>
    <s v="CONGO"/>
    <x v="0"/>
    <x v="0"/>
    <m/>
  </r>
  <r>
    <x v="4"/>
    <s v="Achat billet brazzaville-owando/P29"/>
    <s v="Transport"/>
    <s v="Investigation"/>
    <x v="12"/>
    <x v="12"/>
    <n v="570.21500000000003"/>
    <s v="P29"/>
    <s v="P29-J-R1"/>
    <s v="PALF"/>
    <x v="0"/>
    <s v="CONGO"/>
    <x v="0"/>
    <x v="0"/>
    <m/>
  </r>
  <r>
    <x v="4"/>
    <s v="Achat de Billet Brazzaville-Owando/Romain"/>
    <s v="Transport"/>
    <s v="Legal"/>
    <x v="12"/>
    <x v="12"/>
    <n v="570.21500000000003"/>
    <s v="Romain"/>
    <s v="RM-J-R1"/>
    <s v="PALF"/>
    <x v="0"/>
    <s v="CONGO"/>
    <x v="0"/>
    <x v="0"/>
    <m/>
  </r>
  <r>
    <x v="4"/>
    <s v="Achat billet Brazzaville - Owando/Abraham"/>
    <s v="Transport"/>
    <s v="Legal"/>
    <x v="12"/>
    <x v="12"/>
    <n v="570.21500000000003"/>
    <s v="Abraham"/>
    <s v="AB-J-R1"/>
    <s v="PALF"/>
    <x v="0"/>
    <s v="CONGO"/>
    <x v="0"/>
    <x v="0"/>
    <m/>
  </r>
  <r>
    <x v="4"/>
    <s v="Frais de transfert d'argent à T73"/>
    <s v="Transfert fees"/>
    <s v="Office"/>
    <x v="16"/>
    <x v="16"/>
    <n v="570.21500000000003"/>
    <s v="Roderlin"/>
    <s v="CA-J-R10"/>
    <s v="PALF"/>
    <x v="0"/>
    <s v="CONGO"/>
    <x v="0"/>
    <x v="0"/>
    <m/>
  </r>
  <r>
    <x v="4"/>
    <s v="Achat billet Brazzaville-Owando/Donald-Roméo"/>
    <s v="Transport "/>
    <s v="Legal"/>
    <x v="12"/>
    <x v="12"/>
    <n v="570.21500000000003"/>
    <s v="Donald-Roméo"/>
    <s v="DR-J-R1"/>
    <s v="PALF"/>
    <x v="0"/>
    <s v="CONGO"/>
    <x v="0"/>
    <x v="0"/>
    <m/>
  </r>
  <r>
    <x v="5"/>
    <s v="Billet: Brazzaville-Owando/Crepin"/>
    <s v="Transport"/>
    <s v="Operation"/>
    <x v="12"/>
    <x v="12"/>
    <n v="570.21500000000003"/>
    <s v="Crépin"/>
    <s v="CR-J-R1"/>
    <s v="PALF"/>
    <x v="0"/>
    <s v="CONGO"/>
    <x v="0"/>
    <x v="0"/>
    <m/>
  </r>
  <r>
    <x v="5"/>
    <s v="P29 - CONGO Foodallowance mission du 09 au 17/01/2025 à Owando et Oyo (08 Nuitées)"/>
    <s v="Travel Subsistence"/>
    <s v="Investigation"/>
    <x v="17"/>
    <x v="17"/>
    <n v="570.21500000000003"/>
    <s v="P29"/>
    <s v="P29-J-D1"/>
    <s v="PALF"/>
    <x v="0"/>
    <s v="CONGO"/>
    <x v="0"/>
    <x v="0"/>
    <m/>
  </r>
  <r>
    <x v="5"/>
    <s v="ROMAIN-CONGO Food Alowance du 09 au 25  janvier à Owando(16 Nuitées)"/>
    <s v="Travel Subsistence"/>
    <s v="Legal"/>
    <x v="18"/>
    <x v="18"/>
    <n v="570.21500000000003"/>
    <s v="Romain"/>
    <s v="RM-J-D1"/>
    <s v="PALF"/>
    <x v="0"/>
    <s v="CONGO"/>
    <x v="0"/>
    <x v="0"/>
    <m/>
  </r>
  <r>
    <x v="5"/>
    <s v="ABRAHAM - CONGO food allowance du 09 au 17/01/2025 à Owando (08Nuitées)"/>
    <s v="Travel Subsistence"/>
    <s v="Legal"/>
    <x v="17"/>
    <x v="17"/>
    <n v="570.21500000000003"/>
    <s v="Abraham"/>
    <s v="AB-J-D1"/>
    <s v="PALF"/>
    <x v="0"/>
    <s v="CONGO"/>
    <x v="0"/>
    <x v="0"/>
    <m/>
  </r>
  <r>
    <x v="5"/>
    <s v="Frais de transfert d'argent à P29 et Romain"/>
    <s v="Transfert fees"/>
    <s v="Office"/>
    <x v="19"/>
    <x v="19"/>
    <n v="570.21500000000003"/>
    <s v="Roderlin"/>
    <s v="CA-J-R11"/>
    <s v="PALF"/>
    <x v="0"/>
    <s v="CONGO"/>
    <x v="0"/>
    <x v="0"/>
    <m/>
  </r>
  <r>
    <x v="5"/>
    <s v="Donald-Roméo - CONGO Food Allowance Mission du  09 au 19/01/2025 à Owando"/>
    <s v="Travel Subsistence"/>
    <s v="Legal"/>
    <x v="13"/>
    <x v="13"/>
    <n v="570.21500000000003"/>
    <s v="Donald-Roméo"/>
    <s v="DR-J-D1"/>
    <s v="PALF"/>
    <x v="0"/>
    <s v="CONGO"/>
    <x v="0"/>
    <x v="0"/>
    <m/>
  </r>
  <r>
    <x v="5"/>
    <s v="Achat billet Brazzaville-Owando/Evariste"/>
    <s v="Transport"/>
    <s v="Media"/>
    <x v="12"/>
    <x v="12"/>
    <n v="570.21500000000003"/>
    <s v="Evariste"/>
    <s v="EV-J-R1"/>
    <s v="PALF"/>
    <x v="0"/>
    <s v="CONGO"/>
    <x v="0"/>
    <x v="0"/>
    <m/>
  </r>
  <r>
    <x v="6"/>
    <s v="CREPIN IBOUILI - CONGO Food-Allowance à Owando du 10 au 25/01/2025/(15 Nuitées)"/>
    <s v="Travel Subsistence"/>
    <s v="Legal"/>
    <x v="11"/>
    <x v="20"/>
    <n v="570.21500000000003"/>
    <s v="Crépin"/>
    <s v="CR-J-D1"/>
    <s v="PALF"/>
    <x v="0"/>
    <s v="CONGO"/>
    <x v="0"/>
    <x v="0"/>
    <m/>
  </r>
  <r>
    <x v="6"/>
    <s v="Reglement facture d'electricité periode Novembre - Decembre 2024/Bureau PALF"/>
    <s v="Rent &amp; Utilities"/>
    <s v="Office"/>
    <x v="20"/>
    <x v="21"/>
    <n v="570.21500000000003"/>
    <s v="Roderlin"/>
    <s v="CA-J-R13"/>
    <s v="PALF"/>
    <x v="0"/>
    <s v="CONGO"/>
    <x v="0"/>
    <x v="0"/>
    <m/>
  </r>
  <r>
    <x v="6"/>
    <s v="EVARISTE - CONGO Food Allowance du 10 au 17 janvier 2025 mission à Owando (7 nuitées)"/>
    <s v="Travel Subsistence"/>
    <s v="Media"/>
    <x v="21"/>
    <x v="22"/>
    <n v="570.21500000000003"/>
    <s v="Evariste"/>
    <s v="EV-J-D1"/>
    <s v="PALF"/>
    <x v="0"/>
    <s v="CONGO"/>
    <x v="0"/>
    <x v="0"/>
    <m/>
  </r>
  <r>
    <x v="7"/>
    <s v="CREPIN IBOUILI  - CONGO Frais d'hôtel à Owando du 10 au 13/01/2025 (03 Nuitées)"/>
    <s v="Travel Subsistence"/>
    <s v="Operation"/>
    <x v="22"/>
    <x v="23"/>
    <n v="570.21500000000003"/>
    <s v="Crépin"/>
    <s v="CR-J-R2"/>
    <s v="PALF"/>
    <x v="0"/>
    <s v="CONGO"/>
    <x v="0"/>
    <x v="0"/>
    <m/>
  </r>
  <r>
    <x v="7"/>
    <s v="P29 - CONGO Frais d'hotel du 09 au 13/01/2025 à owando (4 Nuitées)"/>
    <s v="Travel Subsistence"/>
    <s v="Investigation"/>
    <x v="23"/>
    <x v="24"/>
    <n v="570.21500000000003"/>
    <s v="P29"/>
    <s v="P29-J-R2"/>
    <s v="PALF"/>
    <x v="0"/>
    <s v="CONGO"/>
    <x v="0"/>
    <x v="0"/>
    <m/>
  </r>
  <r>
    <x v="7"/>
    <s v="Frais de transfert d'argent à T73"/>
    <s v="Transfert fees"/>
    <s v="Office"/>
    <x v="24"/>
    <x v="25"/>
    <n v="570.21500000000003"/>
    <s v="Roderlin"/>
    <s v="CA-J-R14"/>
    <s v="PALF"/>
    <x v="0"/>
    <s v="CONGO"/>
    <x v="0"/>
    <x v="0"/>
    <m/>
  </r>
  <r>
    <x v="8"/>
    <s v="Reglement facture d'hotel Eric ONA du 07 au 14/01/2025/(07 Nuitées)"/>
    <s v="Travel Subsistence"/>
    <s v="Management"/>
    <x v="25"/>
    <x v="26"/>
    <n v="570.21500000000003"/>
    <s v="Abraham"/>
    <s v="CA-J-R12"/>
    <s v="PALF"/>
    <x v="0"/>
    <s v="CONGO"/>
    <x v="0"/>
    <x v="0"/>
    <m/>
  </r>
  <r>
    <x v="8"/>
    <s v="Frais de transfert d'argent à Romain,P29 et Donald-Roméo"/>
    <s v="Transfert fees"/>
    <s v="Office"/>
    <x v="26"/>
    <x v="27"/>
    <n v="570.21500000000003"/>
    <s v="Roderlin"/>
    <s v="CA-J-R15"/>
    <s v="PALF"/>
    <x v="0"/>
    <s v="CONGO"/>
    <x v="0"/>
    <x v="0"/>
    <m/>
  </r>
  <r>
    <x v="9"/>
    <s v="Raffraichissement et plats avec 03 gendarmes pendant l'attente du top"/>
    <s v="Travel Subsistence"/>
    <s v="Operation"/>
    <x v="27"/>
    <x v="28"/>
    <n v="570.21500000000003"/>
    <s v="Crépin"/>
    <s v="CR-J-R3"/>
    <s v="PALF"/>
    <x v="0"/>
    <s v="CONGO"/>
    <x v="0"/>
    <x v="0"/>
    <m/>
  </r>
  <r>
    <x v="9"/>
    <s v="Achat credit  teléphonique MTN/PALF/Deuxième partie du mois de Janvier 2025/Management"/>
    <s v="Telephone"/>
    <s v="Management"/>
    <x v="28"/>
    <x v="29"/>
    <n v="570.21500000000003"/>
    <s v="Merveille"/>
    <s v="CA-J-R17"/>
    <s v="PALF"/>
    <x v="0"/>
    <s v="CONGO"/>
    <x v="0"/>
    <x v="0"/>
    <m/>
  </r>
  <r>
    <x v="9"/>
    <s v="Achat credit  teléphonique MTN/PALF/Deuxième partie du mois de Janvier 2025/Legal"/>
    <s v="Telephone"/>
    <s v="Legal"/>
    <x v="29"/>
    <x v="30"/>
    <n v="570.21500000000003"/>
    <s v="Merveille"/>
    <s v="CA-J-R18"/>
    <s v="PALF"/>
    <x v="0"/>
    <s v="CONGO"/>
    <x v="0"/>
    <x v="0"/>
    <m/>
  </r>
  <r>
    <x v="9"/>
    <s v="Achat credit  teléphonique MTN/PALF/Deuxième partie du mois de Janvier 2025/Investigation"/>
    <s v="Telephone"/>
    <s v="Investigation"/>
    <x v="30"/>
    <x v="31"/>
    <n v="570.21500000000003"/>
    <s v="Merveille"/>
    <s v="CA-J-R19"/>
    <s v="PALF"/>
    <x v="0"/>
    <s v="CONGO"/>
    <x v="0"/>
    <x v="0"/>
    <m/>
  </r>
  <r>
    <x v="9"/>
    <s v="Achat credit  teléphonique MTN/PALF/Deuxième partie du mois de Janvier 2025/Media"/>
    <s v="Telephone"/>
    <s v="Media"/>
    <x v="4"/>
    <x v="4"/>
    <n v="570.21500000000003"/>
    <s v="Merveille"/>
    <s v="CA-J-R20"/>
    <s v="PALF"/>
    <x v="0"/>
    <s v="CONGO"/>
    <x v="0"/>
    <x v="0"/>
    <m/>
  </r>
  <r>
    <x v="9"/>
    <s v="Achat credit  teléphonique Airtel/PALF/Deuxième partie du mois de Janvier 2025/Legal"/>
    <s v="Telephone"/>
    <s v="Legal"/>
    <x v="4"/>
    <x v="4"/>
    <n v="570.21500000000003"/>
    <s v="Merveille"/>
    <s v="CA-J-R21"/>
    <s v="PALF"/>
    <x v="0"/>
    <s v="CONGO"/>
    <x v="0"/>
    <x v="0"/>
    <m/>
  </r>
  <r>
    <x v="9"/>
    <s v="Achat credit  teléphonique Airtel/PALF/Deuxième partie du mois de Janvier 2025/Investigation"/>
    <s v="Telephone"/>
    <s v="Investigation"/>
    <x v="31"/>
    <x v="32"/>
    <n v="570.21500000000003"/>
    <s v="Merveille"/>
    <s v="CA-J-R22"/>
    <s v="PALF"/>
    <x v="0"/>
    <s v="CONGO"/>
    <x v="0"/>
    <x v="0"/>
    <m/>
  </r>
  <r>
    <x v="9"/>
    <s v="Location véhicule owando-oyo,extraction/après opération"/>
    <s v="Transport"/>
    <s v="Investigation"/>
    <x v="30"/>
    <x v="31"/>
    <n v="570.21500000000003"/>
    <s v="P29"/>
    <s v="P29-J-R3"/>
    <s v="PALF"/>
    <x v="0"/>
    <s v="CONGO"/>
    <x v="0"/>
    <x v="0"/>
    <m/>
  </r>
  <r>
    <x v="9"/>
    <s v="T73- CONGO Frais d'hotel du 07 au 15/01/2025 (08nuitées ) à Owando"/>
    <s v="Travel Subsistence"/>
    <s v="Investigation"/>
    <x v="32"/>
    <x v="33"/>
    <n v="570.21500000000003"/>
    <s v="T73"/>
    <s v="T73-J-R2"/>
    <s v="PALF"/>
    <x v="0"/>
    <s v="CONGO"/>
    <x v="0"/>
    <x v="0"/>
    <m/>
  </r>
  <r>
    <x v="9"/>
    <s v="Location  1 Taxis pour l'opération (Gendarmerie-Hotel  la Concorde:Aller-Retour)"/>
    <s v="Transport"/>
    <s v="Operation"/>
    <x v="33"/>
    <x v="34"/>
    <n v="570.21500000000003"/>
    <s v="Romain"/>
    <s v="RM-J-R2"/>
    <s v="PALF"/>
    <x v="0"/>
    <s v="CONGO"/>
    <x v="0"/>
    <x v="0"/>
    <m/>
  </r>
  <r>
    <x v="9"/>
    <s v="Location  1 Taxis pour l'opération (Gendarmerie-Hotel  la Concorde:Aller-Retour)"/>
    <s v="Transport"/>
    <s v="Operation"/>
    <x v="33"/>
    <x v="34"/>
    <n v="570.21500000000003"/>
    <s v="Romain"/>
    <s v="RM-J-R3"/>
    <s v="PALF"/>
    <x v="0"/>
    <s v="CONGO"/>
    <x v="0"/>
    <x v="0"/>
    <m/>
  </r>
  <r>
    <x v="9"/>
    <s v="Rafraichissement en attente opération "/>
    <s v="Travel Subsistence"/>
    <s v="Operation"/>
    <x v="34"/>
    <x v="35"/>
    <n v="570.21500000000003"/>
    <s v="Romain"/>
    <s v="RM-J-R4"/>
    <s v="PALF"/>
    <x v="0"/>
    <s v="CONGO"/>
    <x v="0"/>
    <x v="0"/>
    <m/>
  </r>
  <r>
    <x v="9"/>
    <s v="ABRAHAM - CONGO frais d'Hôtel (Hôtel Joela) du 09 au 15/01/2025 Owando (06Nuitées)"/>
    <s v="Travel Subsistence"/>
    <s v="Legal"/>
    <x v="35"/>
    <x v="36"/>
    <n v="570.21500000000003"/>
    <s v="Abraham"/>
    <s v="AB-J-R2"/>
    <s v="PALF"/>
    <x v="0"/>
    <s v="CONGO"/>
    <x v="0"/>
    <x v="0"/>
    <m/>
  </r>
  <r>
    <x v="9"/>
    <s v="Rafraîchissement attente op"/>
    <s v="Travel Subsistence"/>
    <s v="Operation"/>
    <x v="36"/>
    <x v="37"/>
    <n v="570.21500000000003"/>
    <s v="Abraham"/>
    <s v="AB-J-R3"/>
    <s v="PALF"/>
    <x v="0"/>
    <s v="CONGO"/>
    <x v="0"/>
    <x v="0"/>
    <m/>
  </r>
  <r>
    <x v="9"/>
    <s v="Achat billet Brazzaville-Dolisie/Rodelin"/>
    <s v="Transport"/>
    <s v="Legal"/>
    <x v="37"/>
    <x v="38"/>
    <n v="570.21500000000003"/>
    <s v="Roderlin"/>
    <s v="RO-J-R1"/>
    <s v="PALF"/>
    <x v="0"/>
    <s v="CONGO"/>
    <x v="0"/>
    <x v="0"/>
    <m/>
  </r>
  <r>
    <x v="9"/>
    <s v="Frais de mission maitre marie Helène à dolisie du 16 au 18/01/2025"/>
    <s v="Lawyer Fees"/>
    <s v="Legal"/>
    <x v="38"/>
    <x v="39"/>
    <n v="570.21500000000003"/>
    <s v="Roderlin"/>
    <s v="CA-J-R16"/>
    <s v="PALF"/>
    <x v="0"/>
    <s v="CONGO"/>
    <x v="0"/>
    <x v="0"/>
    <m/>
  </r>
  <r>
    <x v="9"/>
    <s v="Achat carburant BJ  pour OP"/>
    <s v="Transport "/>
    <s v="Operation"/>
    <x v="7"/>
    <x v="7"/>
    <n v="570.21500000000003"/>
    <s v="Donald-Roméo"/>
    <s v="DR-J-R2"/>
    <s v="PALF"/>
    <x v="0"/>
    <s v="CONGO"/>
    <x v="0"/>
    <x v="0"/>
    <m/>
  </r>
  <r>
    <x v="9"/>
    <s v="Raffraichissement OP  à Owando/10  gendarmes et moi"/>
    <s v="Travel Subsistence"/>
    <s v="Operation"/>
    <x v="39"/>
    <x v="40"/>
    <n v="570.21500000000003"/>
    <s v="Donald-Roméo"/>
    <s v="DR-J-R3"/>
    <s v="PALF"/>
    <x v="0"/>
    <s v="CONGO"/>
    <x v="0"/>
    <x v="0"/>
    <m/>
  </r>
  <r>
    <x v="9"/>
    <s v="Rafraichissement de mon équipe lors de l'opération"/>
    <s v="Travel Subsistence"/>
    <s v="Operation"/>
    <x v="40"/>
    <x v="41"/>
    <n v="570.21500000000003"/>
    <s v="Evariste"/>
    <s v="EV-J-R2"/>
    <s v="PALF"/>
    <x v="0"/>
    <s v="CONGO"/>
    <x v="0"/>
    <x v="0"/>
    <m/>
  </r>
  <r>
    <x v="10"/>
    <s v="Bonus pour 16 gendarmes ayant participé à l'opération du 15 Janvier 2025 à Owando"/>
    <s v="Bonus"/>
    <s v="Operation"/>
    <x v="18"/>
    <x v="18"/>
    <n v="570.21500000000003"/>
    <s v="Crépin"/>
    <s v="CR-J-R4"/>
    <s v="PALF"/>
    <x v="0"/>
    <s v="CONGO"/>
    <x v="0"/>
    <x v="0"/>
    <m/>
  </r>
  <r>
    <x v="10"/>
    <s v="Bonus pour 02 EF ayant participé à l'opération du 15 Janvier 2025 à Owando"/>
    <s v="Bonus"/>
    <s v="Operation"/>
    <x v="0"/>
    <x v="0"/>
    <n v="570.21500000000003"/>
    <s v="Crépin"/>
    <s v="CR-J-R5"/>
    <s v="PALF"/>
    <x v="0"/>
    <s v="CONGO"/>
    <x v="0"/>
    <x v="0"/>
    <m/>
  </r>
  <r>
    <x v="10"/>
    <s v="Frais de transfert d'argent à Crepin,T73 et Evariste"/>
    <s v="Transfert fees"/>
    <s v="Office"/>
    <x v="41"/>
    <x v="42"/>
    <n v="570.21500000000003"/>
    <s v="Merveille"/>
    <s v="CA-J-R23"/>
    <s v="PALF"/>
    <x v="0"/>
    <s v="CONGO"/>
    <x v="0"/>
    <x v="0"/>
    <m/>
  </r>
  <r>
    <x v="10"/>
    <s v="Achat billet Oyo-Brazzaville(Océan du Nord)/Abraham"/>
    <s v="Transport"/>
    <s v="Legal"/>
    <x v="12"/>
    <x v="12"/>
    <n v="570.21500000000003"/>
    <s v="Abraham"/>
    <s v="AB-J-R4"/>
    <s v="PALF"/>
    <x v="0"/>
    <s v="CONGO"/>
    <x v="0"/>
    <x v="0"/>
    <m/>
  </r>
  <r>
    <x v="10"/>
    <s v="RODERLIN-CONGO food allowance du 16 au 18/01/2025 à Dolisie (02 nuitées)"/>
    <s v="Travel Subsistence"/>
    <s v="Legal"/>
    <x v="0"/>
    <x v="0"/>
    <n v="570.21500000000003"/>
    <s v="Roderlin"/>
    <s v="RO-J-D1"/>
    <s v="PALF"/>
    <x v="0"/>
    <s v="CONGO"/>
    <x v="0"/>
    <x v="0"/>
    <m/>
  </r>
  <r>
    <x v="10"/>
    <s v="Achat billet Owando-Brazzaville/Evariste"/>
    <s v="Transport"/>
    <s v="Media"/>
    <x v="12"/>
    <x v="12"/>
    <n v="570.21500000000003"/>
    <s v="Evariste"/>
    <s v="EV-J-R3"/>
    <s v="PALF"/>
    <x v="0"/>
    <s v="CONGO"/>
    <x v="0"/>
    <x v="0"/>
    <m/>
  </r>
  <r>
    <x v="11"/>
    <s v="Frais de transfert d'argent à Donald-Roméo et Romain"/>
    <s v="Transfert fees"/>
    <s v="Office"/>
    <x v="42"/>
    <x v="43"/>
    <n v="570.21500000000003"/>
    <s v="Merveille"/>
    <s v="CA-J-R24"/>
    <s v="PALF"/>
    <x v="0"/>
    <s v="CONGO"/>
    <x v="0"/>
    <x v="0"/>
    <m/>
  </r>
  <r>
    <x v="11"/>
    <s v="Frais de mission maitre Alain BANZOUZI du 19 au 22/01/2025 à Owando"/>
    <s v="Lawyer Fees"/>
    <s v="Legal"/>
    <x v="43"/>
    <x v="44"/>
    <n v="570.21500000000003"/>
    <s v="Merveille"/>
    <s v="CA-J-R25"/>
    <s v="PALF"/>
    <x v="0"/>
    <s v="CONGO"/>
    <x v="0"/>
    <x v="0"/>
    <m/>
  </r>
  <r>
    <x v="11"/>
    <s v="P29 - Frais d'hotel du 13 au 17/01/2025  lieu op à owando(pour P29)/04 Nuitées"/>
    <s v="Travel Subsistence"/>
    <s v="Investigation"/>
    <x v="13"/>
    <x v="13"/>
    <n v="570.21500000000003"/>
    <s v="P29"/>
    <s v="P29-J-R4"/>
    <s v="PALF"/>
    <x v="0"/>
    <s v="CONGO"/>
    <x v="0"/>
    <x v="0"/>
    <m/>
  </r>
  <r>
    <x v="11"/>
    <s v="P29 - Frais d'hotel du 13 au 17/01/2025  lieu op à owando(Pour Crépin)/04 Nuitées"/>
    <s v="Travel Subsistence"/>
    <s v="Investigation"/>
    <x v="13"/>
    <x v="13"/>
    <n v="570.21500000000003"/>
    <s v="P29"/>
    <s v="P29-J-R5"/>
    <s v="PALF"/>
    <x v="0"/>
    <s v="CONGO"/>
    <x v="0"/>
    <x v="0"/>
    <m/>
  </r>
  <r>
    <x v="11"/>
    <s v="Achat billet oyo-brazzaville/P29"/>
    <s v="Transport"/>
    <s v="Investigation"/>
    <x v="12"/>
    <x v="12"/>
    <n v="570.21500000000003"/>
    <s v="P29"/>
    <s v="P29-J-R6"/>
    <s v="PALF"/>
    <x v="0"/>
    <s v="CONGO"/>
    <x v="0"/>
    <x v="0"/>
    <m/>
  </r>
  <r>
    <x v="11"/>
    <s v="P29 - CONGO Frais d'hotel du 15 au 17/01/2025  à oyo ( 02 Nuitées)"/>
    <s v="Travel Subsistence"/>
    <s v="Investigation"/>
    <x v="44"/>
    <x v="45"/>
    <n v="570.21500000000003"/>
    <s v="P29"/>
    <s v="P29-J-R7"/>
    <s v="PALF"/>
    <x v="0"/>
    <s v="CONGO"/>
    <x v="0"/>
    <x v="0"/>
    <m/>
  </r>
  <r>
    <x v="11"/>
    <s v="T73 - CONGO Frais d'hotel du 15 au 17/01/2025 (02nuitées ) à Oyo"/>
    <s v="Travel Subsistence"/>
    <s v="Investigation"/>
    <x v="44"/>
    <x v="45"/>
    <n v="570.21500000000003"/>
    <s v="T73"/>
    <s v="T73-J-R3"/>
    <s v="PALF"/>
    <x v="0"/>
    <s v="CONGO"/>
    <x v="0"/>
    <x v="0"/>
    <m/>
  </r>
  <r>
    <x v="11"/>
    <s v="achat billet : Oyo - Brazzaville /T73"/>
    <s v="Transport"/>
    <s v="Investigation"/>
    <x v="12"/>
    <x v="12"/>
    <n v="570.21500000000003"/>
    <s v="T73"/>
    <s v="T73-J-R4"/>
    <s v="PALF"/>
    <x v="0"/>
    <s v="CONGO"/>
    <x v="0"/>
    <x v="0"/>
    <m/>
  </r>
  <r>
    <x v="11"/>
    <s v="ABRAHAM - CONGO frais d'Hôtel (Hôtel Saint Benoit) du 17 au 17/01/2025 Oyo (02Nuitées)"/>
    <s v="Travel Subsistence"/>
    <s v="Legal"/>
    <x v="44"/>
    <x v="45"/>
    <n v="570.21500000000003"/>
    <s v="Abraham"/>
    <s v="AB-J-R5"/>
    <s v="PALF"/>
    <x v="0"/>
    <s v="CONGO"/>
    <x v="0"/>
    <x v="0"/>
    <m/>
  </r>
  <r>
    <x v="11"/>
    <s v="Cumul frais de Jail visit du mois de Janvier 2025/Roderlin"/>
    <s v="Jail visit"/>
    <s v="Legal"/>
    <x v="45"/>
    <x v="46"/>
    <n v="570.21500000000003"/>
    <s v="Roderlin"/>
    <s v="RO-J-D2"/>
    <s v="PALF"/>
    <x v="0"/>
    <s v="CONGO"/>
    <x v="0"/>
    <x v="0"/>
    <m/>
  </r>
  <r>
    <x v="11"/>
    <s v="Achat billet Dolisie -Brazzaville /Roderlin"/>
    <s v="Transport"/>
    <s v="Legal"/>
    <x v="37"/>
    <x v="38"/>
    <n v="570.21500000000003"/>
    <s v="Roderlin"/>
    <s v="RO-J-R2"/>
    <s v="PALF"/>
    <x v="0"/>
    <s v="CONGO"/>
    <x v="0"/>
    <x v="0"/>
    <m/>
  </r>
  <r>
    <x v="11"/>
    <s v="EVARISTE - CONGO Frais d'hôtel du 10 au 17 janvier 2025 (7 nuitées) à Owando"/>
    <s v="Travel Subsistence"/>
    <s v="Media"/>
    <x v="46"/>
    <x v="47"/>
    <n v="570.21500000000003"/>
    <s v="Evariste"/>
    <s v="EV-J-R4"/>
    <s v="PALF"/>
    <x v="0"/>
    <s v="CONGO"/>
    <x v="0"/>
    <x v="0"/>
    <m/>
  </r>
  <r>
    <x v="11"/>
    <s v="RAPATRIEME01100 RAO00010730"/>
    <s v="Grant"/>
    <m/>
    <x v="47"/>
    <x v="48"/>
    <n v="596.1932333333333"/>
    <s v="BCI"/>
    <s v="BQ-J-G1"/>
    <s v="PALF"/>
    <x v="0"/>
    <s v="CONGO"/>
    <x v="1"/>
    <x v="1"/>
    <m/>
  </r>
  <r>
    <x v="12"/>
    <s v="RODERLIN-CONGO frais d'hôtel du 16 au 18/01/2025 à DOLISIE (02 nuitées)"/>
    <s v="Travel Subsistence"/>
    <s v="Legal"/>
    <x v="44"/>
    <x v="49"/>
    <n v="596.19299999999998"/>
    <s v="Roderlin"/>
    <s v="RO-J-R3"/>
    <s v="PALF"/>
    <x v="0"/>
    <s v="CONGO"/>
    <x v="0"/>
    <x v="0"/>
    <m/>
  </r>
  <r>
    <x v="13"/>
    <s v="Achat billet Owando-Brazzaville/Donald-Roméo"/>
    <s v="Transport "/>
    <s v="Legal"/>
    <x v="12"/>
    <x v="12"/>
    <n v="570.21500000000003"/>
    <s v="Donald-Roméo"/>
    <s v="DR-J-R4"/>
    <s v="PALF"/>
    <x v="0"/>
    <s v="CONGO"/>
    <x v="0"/>
    <x v="0"/>
    <m/>
  </r>
  <r>
    <x v="13"/>
    <s v="DONALD-ROMEO - CONGO Frais d'hôtel du 09 au 19/01/2025 à  Owando (Hôtel  Joella)/ 10 Nuitées"/>
    <s v="Travel Subsistence"/>
    <s v="Legal"/>
    <x v="11"/>
    <x v="11"/>
    <n v="596.19299999999998"/>
    <s v="Donald-Roméo"/>
    <s v="DR-J-R5"/>
    <s v="PALF"/>
    <x v="0"/>
    <s v="CONGO"/>
    <x v="0"/>
    <x v="0"/>
    <m/>
  </r>
  <r>
    <x v="13"/>
    <s v="Cumul frais de transport local du mois de Janvier 2025/Donald-Roméo"/>
    <s v="Transport "/>
    <s v="Legal"/>
    <x v="48"/>
    <x v="50"/>
    <n v="596.19299999999998"/>
    <s v="Donald-Roméo"/>
    <s v="DR-J-D2"/>
    <s v="PALF"/>
    <x v="0"/>
    <s v="CONGO"/>
    <x v="0"/>
    <x v="0"/>
    <m/>
  </r>
  <r>
    <x v="14"/>
    <s v="Achat encre 216A et registre"/>
    <s v="Office Materiels"/>
    <s v="Office"/>
    <x v="49"/>
    <x v="51"/>
    <n v="596.19299999999998"/>
    <s v="Merveille"/>
    <s v="CA-J-R26"/>
    <s v="PALF"/>
    <x v="0"/>
    <s v="CONGO"/>
    <x v="0"/>
    <x v="0"/>
    <m/>
  </r>
  <r>
    <x v="14"/>
    <s v="Prestation de nettoyage Jardin PALF mois de Janvier 2025"/>
    <s v="Services"/>
    <s v="Office"/>
    <x v="0"/>
    <x v="52"/>
    <n v="596.19299999999998"/>
    <s v="Merveille"/>
    <s v="CA-J-R27"/>
    <s v="PALF"/>
    <x v="0"/>
    <s v="CONGO"/>
    <x v="0"/>
    <x v="0"/>
    <m/>
  </r>
  <r>
    <x v="15"/>
    <s v="achat billet : Brazzaville - dolisie/T73"/>
    <s v="Transport"/>
    <s v="Investigation"/>
    <x v="12"/>
    <x v="53"/>
    <n v="596.19299999999998"/>
    <s v="T73"/>
    <s v="T73-J-R5"/>
    <s v="PALF"/>
    <x v="0"/>
    <s v="CONGO"/>
    <x v="0"/>
    <x v="0"/>
    <m/>
  </r>
  <r>
    <x v="15"/>
    <s v="Achat carte sim pour T73"/>
    <s v="Investigation materials"/>
    <s v="Investigation"/>
    <x v="4"/>
    <x v="4"/>
    <n v="570.21500000000003"/>
    <s v="T73"/>
    <s v="T73-J-R16"/>
    <s v="PALF"/>
    <x v="0"/>
    <s v="CONGO"/>
    <x v="0"/>
    <x v="0"/>
    <m/>
  </r>
  <r>
    <x v="15"/>
    <s v="Impréssion de la procédure de la Gendaremrie"/>
    <s v="Office Materiels"/>
    <s v="Operation"/>
    <x v="50"/>
    <x v="54"/>
    <n v="570.21500000000003"/>
    <s v="Romain"/>
    <s v="RM-J-R5"/>
    <s v="PALF"/>
    <x v="0"/>
    <s v="CONGO"/>
    <x v="0"/>
    <x v="0"/>
    <m/>
  </r>
  <r>
    <x v="15"/>
    <s v="Cumul frais de jail visit du mois de Janvier 2025/Romain"/>
    <s v="Jail visit"/>
    <s v="Legal"/>
    <x v="51"/>
    <x v="55"/>
    <n v="596.19299999999998"/>
    <s v="Romain"/>
    <s v="RM-J-D2"/>
    <s v="PALF"/>
    <x v="0"/>
    <s v="CONGO"/>
    <x v="0"/>
    <x v="0"/>
    <m/>
  </r>
  <r>
    <x v="15"/>
    <s v="Bonus media portant sur l'operation du 15/01/2025"/>
    <s v="Bonus to media office"/>
    <s v="Media"/>
    <x v="52"/>
    <x v="56"/>
    <n v="596.19299999999998"/>
    <s v="Evariste"/>
    <s v="CA-J-D1"/>
    <s v="PALF"/>
    <x v="0"/>
    <s v="CONGO"/>
    <x v="0"/>
    <x v="0"/>
    <m/>
  </r>
  <r>
    <x v="16"/>
    <s v="IT87 - CONGO Food Allowance mission du 22 au 30/01/2025 à Mouyondzi, Kolo, Bouansa et Madingou/(08 Nuitées)"/>
    <s v="Travel Subsistence"/>
    <s v="Investigation"/>
    <x v="17"/>
    <x v="57"/>
    <n v="596.19299999999998"/>
    <s v="IT87"/>
    <s v="IT87-J-D1"/>
    <s v="PALF"/>
    <x v="0"/>
    <s v="CONGO"/>
    <x v="0"/>
    <x v="0"/>
    <m/>
  </r>
  <r>
    <x v="16"/>
    <s v="Achat billet Brazzaville - Mouyondzi/ IT87"/>
    <s v="Transport"/>
    <s v="Investigation"/>
    <x v="12"/>
    <x v="53"/>
    <n v="596.19299999999998"/>
    <s v="IT87"/>
    <s v="IT87-J-R1"/>
    <s v="PALF"/>
    <x v="0"/>
    <s v="CONGO"/>
    <x v="0"/>
    <x v="0"/>
    <m/>
  </r>
  <r>
    <x v="16"/>
    <s v="Achat billet brazzaville-dolisie/P29"/>
    <s v="Transport"/>
    <s v="Investigation"/>
    <x v="12"/>
    <x v="53"/>
    <n v="596.19299999999998"/>
    <s v="P29"/>
    <s v="P29-J-R8"/>
    <s v="PALF"/>
    <x v="0"/>
    <s v="CONGO"/>
    <x v="0"/>
    <x v="0"/>
    <m/>
  </r>
  <r>
    <x v="16"/>
    <s v="P29 - CONGO Foodallowance mission du 22 au 30/01/2025 à Dolisie,Kimongo,Louvakou et ditadi (08 Nuitées)"/>
    <s v="Travel Subsistence"/>
    <s v="Investigation"/>
    <x v="17"/>
    <x v="57"/>
    <n v="596.19299999999998"/>
    <s v="P29"/>
    <s v="P29-J-D2"/>
    <s v="PALF"/>
    <x v="0"/>
    <s v="CONGO"/>
    <x v="0"/>
    <x v="0"/>
    <m/>
  </r>
  <r>
    <x v="16"/>
    <s v="T73 - CONGO Food Allowance du 22 au 30/01/2025 (08nuitées) à Dolisie,Kibangou,Mbanda et Passi passi"/>
    <s v="Travel Subsistence"/>
    <s v="Investigation"/>
    <x v="17"/>
    <x v="57"/>
    <n v="596.19299999999998"/>
    <s v="T73"/>
    <s v="T73-J-D2"/>
    <s v="PALF"/>
    <x v="0"/>
    <s v="CONGO"/>
    <x v="0"/>
    <x v="0"/>
    <m/>
  </r>
  <r>
    <x v="16"/>
    <s v="Achat billet: Brazzaville - dolisie / G12"/>
    <s v="Transport"/>
    <s v="Investigation"/>
    <x v="12"/>
    <x v="53"/>
    <n v="596.19299999999998"/>
    <s v="G12"/>
    <s v="G12-J-R1"/>
    <s v="PALF"/>
    <x v="0"/>
    <s v="CONGO"/>
    <x v="0"/>
    <x v="0"/>
    <m/>
  </r>
  <r>
    <x v="16"/>
    <s v="G12 - CONGO Food Allowance du 22  au 30 /01/2025 (08nuitées)"/>
    <s v="Travel Subsistence"/>
    <s v="Investigation"/>
    <x v="17"/>
    <x v="57"/>
    <n v="596.19299999999998"/>
    <s v="G12"/>
    <s v="G12-J-D1"/>
    <s v="PALF"/>
    <x v="0"/>
    <s v="CONGO"/>
    <x v="0"/>
    <x v="0"/>
    <m/>
  </r>
  <r>
    <x v="16"/>
    <s v="Cumul frais de transport local du mois de Janvier 2025/Abraham"/>
    <s v="Transport"/>
    <s v="Legal"/>
    <x v="53"/>
    <x v="58"/>
    <n v="596.19299999999998"/>
    <s v="Abraham"/>
    <s v="AB-J-D2"/>
    <s v="PALF"/>
    <x v="0"/>
    <s v="CONGO"/>
    <x v="0"/>
    <x v="0"/>
    <m/>
  </r>
  <r>
    <x v="16"/>
    <s v="Frais de transfert d'argent à Romain "/>
    <s v="Transfert fees"/>
    <s v="Office"/>
    <x v="54"/>
    <x v="59"/>
    <n v="596.19299999999998"/>
    <s v="Abraham"/>
    <s v="CA-J-R28"/>
    <s v="PALF"/>
    <x v="0"/>
    <s v="CONGO"/>
    <x v="0"/>
    <x v="0"/>
    <m/>
  </r>
  <r>
    <x v="16"/>
    <s v="Recharge bouteille de gaz de 12KG/Bureau PALF"/>
    <s v="Office Materiels"/>
    <s v="Office"/>
    <x v="55"/>
    <x v="60"/>
    <n v="596.19299999999998"/>
    <s v="Roderlin"/>
    <s v="CA-J-R29"/>
    <s v="PALF"/>
    <x v="0"/>
    <s v="CONGO"/>
    <x v="0"/>
    <x v="0"/>
    <m/>
  </r>
  <r>
    <x v="17"/>
    <s v="Frais de notification contrat Roderlin et Abraham"/>
    <s v="Personnel"/>
    <s v="Legal"/>
    <x v="1"/>
    <x v="61"/>
    <n v="596.19299999999998"/>
    <s v="Merveille"/>
    <s v="CA-J-R31"/>
    <s v="PALF"/>
    <x v="0"/>
    <s v="CONGO"/>
    <x v="0"/>
    <x v="0"/>
    <m/>
  </r>
  <r>
    <x v="17"/>
    <s v="Frais de transfert d'argent à T73,P29,IT87 et G12"/>
    <s v="Transfert fees"/>
    <s v="Office"/>
    <x v="56"/>
    <x v="62"/>
    <n v="596.19299999999998"/>
    <s v="Roderlin"/>
    <s v="CA-J-R30"/>
    <s v="PALF"/>
    <x v="0"/>
    <s v="CONGO"/>
    <x v="0"/>
    <x v="0"/>
    <m/>
  </r>
  <r>
    <x v="17"/>
    <s v="Paiement salaire du mois de Janvier 2025"/>
    <s v="Personnel"/>
    <s v="Management"/>
    <x v="57"/>
    <x v="63"/>
    <n v="596.19299999999998"/>
    <s v="BCI"/>
    <s v="BQ-J-R4"/>
    <s v="PALF"/>
    <x v="0"/>
    <s v="CONGO"/>
    <x v="0"/>
    <x v="0"/>
    <m/>
  </r>
  <r>
    <x v="17"/>
    <s v="Paiement salaire du mois de Janvier 2025/Loundou Jean Romain"/>
    <s v="Personnel"/>
    <s v="Legal"/>
    <x v="58"/>
    <x v="64"/>
    <n v="596.19299999999998"/>
    <s v="BCI"/>
    <s v="BQ-J-R5"/>
    <s v="PALF"/>
    <x v="0"/>
    <s v="CONGO"/>
    <x v="0"/>
    <x v="0"/>
    <m/>
  </r>
  <r>
    <x v="17"/>
    <s v="Paiement salaire du mois de Janvier 2025/Crepin IBOUILI IBOUILI"/>
    <s v="Personnel"/>
    <s v="Office"/>
    <x v="59"/>
    <x v="65"/>
    <n v="596.19299999999998"/>
    <s v="BCI"/>
    <s v="BQ-J-R6"/>
    <s v="PALF"/>
    <x v="0"/>
    <s v="CONGO"/>
    <x v="0"/>
    <x v="0"/>
    <m/>
  </r>
  <r>
    <x v="17"/>
    <s v="Paiement salaire du mois de Janvier 2025/Merveille MAHANGA"/>
    <s v="Personnel"/>
    <s v="Legal"/>
    <x v="60"/>
    <x v="66"/>
    <n v="596.19299999999998"/>
    <s v="BCI"/>
    <s v="BQ-J-R7"/>
    <s v="PALF"/>
    <x v="0"/>
    <s v="CONGO"/>
    <x v="0"/>
    <x v="0"/>
    <m/>
  </r>
  <r>
    <x v="17"/>
    <s v="Paiement salaire du mois de Janvier 2025 et congé/PINDI BINGA Donald-Roméo"/>
    <s v="Personnel"/>
    <s v="Legal"/>
    <x v="61"/>
    <x v="67"/>
    <n v="596.19299999999998"/>
    <s v="BCI"/>
    <s v="BQ-J-R8"/>
    <s v="PALF"/>
    <x v="0"/>
    <s v="CONGO"/>
    <x v="0"/>
    <x v="0"/>
    <m/>
  </r>
  <r>
    <x v="17"/>
    <s v="Paiement salaire du mois de Janvier 2025/BOUNGOU Abraham"/>
    <s v="Personnel"/>
    <s v="Legal"/>
    <x v="58"/>
    <x v="64"/>
    <n v="596.19299999999998"/>
    <s v="BCI"/>
    <s v="BQ-J-R9"/>
    <s v="PALF"/>
    <x v="0"/>
    <s v="CONGO"/>
    <x v="0"/>
    <x v="0"/>
    <m/>
  </r>
  <r>
    <x v="17"/>
    <s v="Paiement salaire du mois de Janvier 2025/FOUMBA Roderlin"/>
    <s v="Personnel"/>
    <s v="Legal"/>
    <x v="58"/>
    <x v="64"/>
    <n v="596.19299999999998"/>
    <s v="BCI"/>
    <s v="BQ-J-R10"/>
    <s v="PALF"/>
    <x v="0"/>
    <s v="CONGO"/>
    <x v="0"/>
    <x v="0"/>
    <m/>
  </r>
  <r>
    <x v="17"/>
    <s v="Paiement salaire du mois de Janvier 2025/Evariste LELOUSSI"/>
    <s v="Personnel"/>
    <s v="Media"/>
    <x v="62"/>
    <x v="68"/>
    <n v="596.19299999999998"/>
    <s v="BCI"/>
    <s v="BQ-J-R11"/>
    <s v="PALF"/>
    <x v="0"/>
    <s v="CONGO"/>
    <x v="0"/>
    <x v="0"/>
    <m/>
  </r>
  <r>
    <x v="18"/>
    <s v="Billet: Owando-Brazzaville/Crepin"/>
    <s v="Transport"/>
    <s v="Legal"/>
    <x v="12"/>
    <x v="53"/>
    <n v="596.19299999999998"/>
    <s v="Crépin"/>
    <s v="CR-J-R6"/>
    <s v="PALF"/>
    <x v="0"/>
    <s v="CONGO"/>
    <x v="0"/>
    <x v="0"/>
    <m/>
  </r>
  <r>
    <x v="18"/>
    <s v="Taxi : Mouyondzi - Village Kolo/ vérification de l'animal avec la cible"/>
    <s v="Transport"/>
    <s v="Investigation"/>
    <x v="31"/>
    <x v="69"/>
    <n v="596.19299999999998"/>
    <s v="IT87"/>
    <s v="IT87-J-R2"/>
    <s v="PALF"/>
    <x v="0"/>
    <s v="CONGO"/>
    <x v="0"/>
    <x v="0"/>
    <m/>
  </r>
  <r>
    <x v="18"/>
    <s v="Taxi : Village Kolo - Mouyondzi/ Retour de la vérification avec la cible"/>
    <s v="Transport"/>
    <s v="Investigation"/>
    <x v="31"/>
    <x v="69"/>
    <n v="596.19299999999998"/>
    <s v="IT87"/>
    <s v="IT87-J-R3"/>
    <s v="PALF"/>
    <x v="0"/>
    <s v="CONGO"/>
    <x v="0"/>
    <x v="0"/>
    <m/>
  </r>
  <r>
    <x v="18"/>
    <s v="P29 - CONGO Frais d'hotel du 22 au 24/01/2025 à Dolisie (02 Nuitées)"/>
    <s v="Travel Subsistence"/>
    <s v="Investigation"/>
    <x v="44"/>
    <x v="49"/>
    <n v="596.19299999999998"/>
    <s v="P29"/>
    <s v="P29-J-R9"/>
    <s v="PALF"/>
    <x v="0"/>
    <s v="CONGO"/>
    <x v="0"/>
    <x v="0"/>
    <m/>
  </r>
  <r>
    <x v="18"/>
    <s v="Achat billet Dolisie-kimongo/P29"/>
    <s v="Transport"/>
    <s v="Investigation"/>
    <x v="63"/>
    <x v="70"/>
    <n v="596.19299999999998"/>
    <s v="P29"/>
    <s v="P29-J-R10"/>
    <s v="PALF"/>
    <x v="0"/>
    <s v="CONGO"/>
    <x v="0"/>
    <x v="0"/>
    <m/>
  </r>
  <r>
    <x v="18"/>
    <s v="T73 - CONGO Frais d'hotel du 22 au 24/01/2025 (02nuitées ) à Dolisie"/>
    <s v="Travel Subsistence"/>
    <s v="Investigation"/>
    <x v="44"/>
    <x v="49"/>
    <n v="596.19299999999998"/>
    <s v="T73"/>
    <s v="T73-J-R6"/>
    <s v="PALF"/>
    <x v="0"/>
    <s v="CONGO"/>
    <x v="0"/>
    <x v="0"/>
    <m/>
  </r>
  <r>
    <x v="18"/>
    <s v="Achat billet: dolisie - Mbanda/T73"/>
    <s v="Transport"/>
    <s v="Investigation"/>
    <x v="64"/>
    <x v="71"/>
    <n v="596.19299999999998"/>
    <s v="T73"/>
    <s v="T73-J-R7"/>
    <s v="PALF"/>
    <x v="0"/>
    <s v="CONGO"/>
    <x v="0"/>
    <x v="0"/>
    <m/>
  </r>
  <r>
    <x v="18"/>
    <s v=" G12 - CONGO frais d'hotel du 22au 24 /01/2025 à Dolisie ( 2 nuitées)"/>
    <s v="Travel Subsistence"/>
    <s v="Investigation"/>
    <x v="44"/>
    <x v="49"/>
    <n v="596.19299999999998"/>
    <s v="G12"/>
    <s v="G12-J-R2"/>
    <s v="PALF"/>
    <x v="0"/>
    <s v="CONGO"/>
    <x v="0"/>
    <x v="0"/>
    <m/>
  </r>
  <r>
    <x v="18"/>
    <s v="Achat billet : Dolisie - mossendjo/G12"/>
    <s v="Transport"/>
    <s v="Investigation"/>
    <x v="37"/>
    <x v="72"/>
    <n v="596.19299999999998"/>
    <s v="G12"/>
    <s v="G12-J-R3"/>
    <s v="PALF"/>
    <x v="0"/>
    <s v="CONGO"/>
    <x v="0"/>
    <x v="0"/>
    <m/>
  </r>
  <r>
    <x v="18"/>
    <s v="Achat de Billet Owando-Brazzaville/Romain"/>
    <s v="Transport"/>
    <s v="Legal"/>
    <x v="12"/>
    <x v="53"/>
    <n v="596.19299999999998"/>
    <s v="Romain"/>
    <s v="RM-J-R5"/>
    <s v="PALF"/>
    <x v="0"/>
    <s v="CONGO"/>
    <x v="0"/>
    <x v="0"/>
    <m/>
  </r>
  <r>
    <x v="19"/>
    <s v="CREPIN IBOUILI  - CONGO Frais d'hôtel à Owando du 15 au 25/01/2025/10 Nuitées"/>
    <s v="Travel Subsistence"/>
    <s v="Legal"/>
    <x v="11"/>
    <x v="11"/>
    <n v="596.19299999999998"/>
    <s v="Crépin"/>
    <s v="CR-J-R7"/>
    <s v="PALF"/>
    <x v="0"/>
    <s v="CONGO"/>
    <x v="0"/>
    <x v="0"/>
    <m/>
  </r>
  <r>
    <x v="19"/>
    <s v="Cumul frais de transport local du mois de Janvier 2025/Crepin"/>
    <s v="Transport"/>
    <s v="Legal"/>
    <x v="65"/>
    <x v="73"/>
    <n v="596.19299999999998"/>
    <s v="Crépin"/>
    <s v="CR-J-D2"/>
    <s v="PALF"/>
    <x v="0"/>
    <s v="CONGO"/>
    <x v="0"/>
    <x v="0"/>
    <m/>
  </r>
  <r>
    <x v="19"/>
    <s v="ROMAIN - CONGO Frais d'hôtel de la mission du 09 au 25/2025 à Owando(16 nuitées)"/>
    <s v="Travel Subsistence"/>
    <s v="Legal"/>
    <x v="66"/>
    <x v="74"/>
    <n v="596.19299999999998"/>
    <s v="Romain"/>
    <s v="RM-J-R7"/>
    <s v="PALF"/>
    <x v="0"/>
    <s v="CONGO"/>
    <x v="0"/>
    <x v="0"/>
    <m/>
  </r>
  <r>
    <x v="20"/>
    <s v="IT87 - CONGO Frais d'hôtel DZA-MATSAKA du 22 au 26/01/2025 à Mouyondzi (04 nuitées)"/>
    <s v="Travel Subsistence"/>
    <s v="Investigation"/>
    <x v="23"/>
    <x v="75"/>
    <n v="596.19299999999998"/>
    <s v="IT87"/>
    <s v="IT87-J-R4"/>
    <s v="PALF"/>
    <x v="0"/>
    <s v="CONGO"/>
    <x v="0"/>
    <x v="0"/>
    <m/>
  </r>
  <r>
    <x v="20"/>
    <s v="Achat billet Mouyondzi - Bouansa/ IT87"/>
    <s v="Transport"/>
    <s v="Investigation"/>
    <x v="67"/>
    <x v="76"/>
    <n v="596.19299999999998"/>
    <s v="IT87"/>
    <s v="IT87-J-R5"/>
    <s v="PALF"/>
    <x v="0"/>
    <s v="CONGO"/>
    <x v="0"/>
    <x v="0"/>
    <m/>
  </r>
  <r>
    <x v="20"/>
    <s v="P29 - CONGO Frais d'hotel du 24 au 26/01/2025 à kimongo ( 02 Nuitées)"/>
    <s v="Travel Subsistence"/>
    <s v="Investigation"/>
    <x v="44"/>
    <x v="49"/>
    <n v="596.19299999999998"/>
    <s v="P29"/>
    <s v="P29-J-R11"/>
    <s v="PALF"/>
    <x v="0"/>
    <s v="CONGO"/>
    <x v="0"/>
    <x v="0"/>
    <m/>
  </r>
  <r>
    <x v="20"/>
    <s v="Achat billet kimongo-dolisie/P29"/>
    <s v="Transport"/>
    <s v="Investigation"/>
    <x v="63"/>
    <x v="70"/>
    <n v="596.19299999999998"/>
    <s v="P29"/>
    <s v="P29-J-R12"/>
    <s v="PALF"/>
    <x v="0"/>
    <s v="CONGO"/>
    <x v="0"/>
    <x v="0"/>
    <m/>
  </r>
  <r>
    <x v="20"/>
    <s v="Achat billet dolisie-louvakou/P29"/>
    <s v="Transport"/>
    <s v="Investigation"/>
    <x v="31"/>
    <x v="69"/>
    <n v="596.19299999999998"/>
    <s v="P29"/>
    <s v="P29-J-R13"/>
    <s v="PALF"/>
    <x v="0"/>
    <s v="CONGO"/>
    <x v="0"/>
    <x v="0"/>
    <m/>
  </r>
  <r>
    <x v="20"/>
    <s v="T73 - CONGO Frais d'hotel du 24 au 26/01/2025 (02nuitées ) à MBanda"/>
    <s v="Travel Subsistence"/>
    <s v="Investigation"/>
    <x v="44"/>
    <x v="49"/>
    <n v="596.19299999999998"/>
    <s v="T73"/>
    <s v="T73-J-R8"/>
    <s v="PALF"/>
    <x v="0"/>
    <s v="CONGO"/>
    <x v="0"/>
    <x v="0"/>
    <m/>
  </r>
  <r>
    <x v="20"/>
    <s v="achat billet : MBanda - kibangou/T73"/>
    <s v="Transport"/>
    <s v="Investigation"/>
    <x v="12"/>
    <x v="53"/>
    <n v="596.19299999999998"/>
    <s v="T73"/>
    <s v="T73-J-R9"/>
    <s v="PALF"/>
    <x v="0"/>
    <s v="CONGO"/>
    <x v="0"/>
    <x v="0"/>
    <m/>
  </r>
  <r>
    <x v="20"/>
    <s v="G12 congo frais d'hotel du 24 au 26/01/2025   à mossendjo(2nuitées)"/>
    <s v="Travel Subsistence"/>
    <s v="Investigation"/>
    <x v="44"/>
    <x v="49"/>
    <n v="596.19299999999998"/>
    <s v="G12"/>
    <s v="G12-J-R4"/>
    <s v="PALF"/>
    <x v="0"/>
    <s v="CONGO"/>
    <x v="0"/>
    <x v="0"/>
    <m/>
  </r>
  <r>
    <x v="20"/>
    <s v="Achat billet :Mossendjo makabana/G12"/>
    <s v="Transport"/>
    <s v="Investigation"/>
    <x v="31"/>
    <x v="69"/>
    <n v="596.19299999999998"/>
    <s v="G12"/>
    <s v="G12-J-R5"/>
    <s v="PALF"/>
    <x v="0"/>
    <s v="CONGO"/>
    <x v="0"/>
    <x v="0"/>
    <m/>
  </r>
  <r>
    <x v="21"/>
    <s v="Prime de fin d'année Donald-Roméo"/>
    <s v="Personnel"/>
    <s v="Legal"/>
    <x v="68"/>
    <x v="77"/>
    <n v="596.19299999999998"/>
    <s v="Merveille"/>
    <s v="CA-J-D2"/>
    <s v="PALF"/>
    <x v="0"/>
    <s v="CONGO"/>
    <x v="0"/>
    <x v="0"/>
    <m/>
  </r>
  <r>
    <x v="21"/>
    <s v="Cumul frais de trust building du mois de Janvier 2025/IT87"/>
    <s v="Trust Building"/>
    <s v="Investigation"/>
    <x v="69"/>
    <x v="78"/>
    <n v="570.21500000000003"/>
    <s v="IT87"/>
    <s v="IT87-J-D2"/>
    <s v="PALF"/>
    <x v="0"/>
    <s v="CONGO"/>
    <x v="0"/>
    <x v="0"/>
    <m/>
  </r>
  <r>
    <x v="21"/>
    <s v="Cumul frais de trust building du mois de Janvier 2025/G12"/>
    <s v="Trust Building"/>
    <s v="Investigation"/>
    <x v="63"/>
    <x v="79"/>
    <n v="570.21500000000003"/>
    <s v="G12"/>
    <s v="G12-J-D2"/>
    <s v="PALF"/>
    <x v="0"/>
    <s v="CONGO"/>
    <x v="0"/>
    <x v="0"/>
    <m/>
  </r>
  <r>
    <x v="21"/>
    <s v="Bonus du mois de Janvier 2025/Donald-Roméo"/>
    <s v="Personnel"/>
    <s v="Legal"/>
    <x v="44"/>
    <x v="49"/>
    <n v="596.19299999999998"/>
    <s v="Donald-Roméo"/>
    <s v="CA-J-D3"/>
    <s v="PALF"/>
    <x v="0"/>
    <s v="CONGO"/>
    <x v="0"/>
    <x v="0"/>
    <m/>
  </r>
  <r>
    <x v="21"/>
    <s v="Bonus Opération du 15/01/2025 à Owando"/>
    <s v="Bonus"/>
    <s v="Operation"/>
    <x v="44"/>
    <x v="45"/>
    <n v="570.21500000000003"/>
    <s v="Donald-Roméo"/>
    <s v="CA-J-D4"/>
    <s v="PALF"/>
    <x v="0"/>
    <s v="CONGO"/>
    <x v="0"/>
    <x v="0"/>
    <m/>
  </r>
  <r>
    <x v="22"/>
    <s v="Paiement retraite Coordinateur periode Octobre,Novembre et Decembre 2024"/>
    <s v="Personnel"/>
    <s v="Management"/>
    <x v="11"/>
    <x v="11"/>
    <n v="596.19299999999998"/>
    <s v="DOVI"/>
    <s v="CA-J-R33"/>
    <s v="PALF"/>
    <x v="0"/>
    <s v="CONGO"/>
    <x v="0"/>
    <x v="0"/>
    <m/>
  </r>
  <r>
    <x v="22"/>
    <s v="IT87 - CONGO Frais d'hôtel le Point de Repère du 26 au 28/01/2025 à Bouansa (02 Nuitées)"/>
    <s v="Travel Subsistence"/>
    <s v="Investigation"/>
    <x v="44"/>
    <x v="49"/>
    <n v="596.19299999999998"/>
    <s v="IT87"/>
    <s v="IT87-J-R6"/>
    <s v="PALF"/>
    <x v="0"/>
    <s v="CONGO"/>
    <x v="0"/>
    <x v="0"/>
    <m/>
  </r>
  <r>
    <x v="22"/>
    <s v="Achat billet Bouansa - Madingou/ IT87"/>
    <s v="Transport"/>
    <s v="Investigation"/>
    <x v="70"/>
    <x v="80"/>
    <n v="596.19299999999998"/>
    <s v="IT87"/>
    <s v="IT87-J-R7"/>
    <s v="PALF"/>
    <x v="0"/>
    <s v="CONGO"/>
    <x v="0"/>
    <x v="0"/>
    <m/>
  </r>
  <r>
    <x v="22"/>
    <s v="P29 - CONGO Frais d'hotel du 26 au 28/01/2025 à louvakou (02 Nuitées)"/>
    <s v="Travel Subsistence"/>
    <s v="Investigation"/>
    <x v="44"/>
    <x v="49"/>
    <n v="596.19299999999998"/>
    <s v="P29"/>
    <s v="P29-J-R14"/>
    <s v="PALF"/>
    <x v="0"/>
    <s v="CONGO"/>
    <x v="0"/>
    <x v="0"/>
    <m/>
  </r>
  <r>
    <x v="22"/>
    <s v="Achat billet louvakou-ditadi/P29"/>
    <s v="Transport"/>
    <s v="Investigation"/>
    <x v="31"/>
    <x v="69"/>
    <n v="596.19299999999998"/>
    <s v="P29"/>
    <s v="P29-J-R15"/>
    <s v="PALF"/>
    <x v="0"/>
    <s v="CONGO"/>
    <x v="0"/>
    <x v="0"/>
    <m/>
  </r>
  <r>
    <x v="22"/>
    <s v="T73 - CONGO Frais d'hotel du 26 au 28/01/2025 (02nuitées ) à Kibangou"/>
    <s v="Travel Subsistence"/>
    <s v="Investigation"/>
    <x v="44"/>
    <x v="49"/>
    <n v="596.19299999999998"/>
    <s v="T73"/>
    <s v="T73-J-R10"/>
    <s v="PALF"/>
    <x v="0"/>
    <s v="CONGO"/>
    <x v="0"/>
    <x v="0"/>
    <m/>
  </r>
  <r>
    <x v="22"/>
    <s v="Achat billet : kibangou - Passi Passi/T73"/>
    <s v="Transport"/>
    <s v="Investigation"/>
    <x v="31"/>
    <x v="69"/>
    <n v="596.19299999999998"/>
    <s v="T73"/>
    <s v="T73-J-R11"/>
    <s v="PALF"/>
    <x v="0"/>
    <s v="CONGO"/>
    <x v="0"/>
    <x v="0"/>
    <m/>
  </r>
  <r>
    <x v="22"/>
    <s v="G12 - CONGO frais d'hotel du 26 au 28 /01/2025  à makabana (2nuitées)"/>
    <s v="Travel Subsistence"/>
    <s v="Investigation"/>
    <x v="44"/>
    <x v="49"/>
    <n v="596.19299999999998"/>
    <s v="G12"/>
    <s v="G12-J-R6"/>
    <s v="PALF"/>
    <x v="0"/>
    <s v="CONGO"/>
    <x v="0"/>
    <x v="0"/>
    <m/>
  </r>
  <r>
    <x v="22"/>
    <s v="Achat du billet makabana  - mila mila/G12"/>
    <s v="Transport"/>
    <s v="Investigation"/>
    <x v="31"/>
    <x v="69"/>
    <n v="596.19299999999998"/>
    <s v="G12"/>
    <s v="G12-J-R7"/>
    <s v="PALF"/>
    <x v="0"/>
    <s v="CONGO"/>
    <x v="0"/>
    <x v="0"/>
    <m/>
  </r>
  <r>
    <x v="22"/>
    <s v="Achat carburant 100litre de Gazoil/Groupe electrogène PALF"/>
    <s v="Office Materiels"/>
    <s v="Office"/>
    <x v="71"/>
    <x v="81"/>
    <n v="596.19299999999998"/>
    <s v="Roderlin"/>
    <s v="CA-J-R32"/>
    <s v="PALF"/>
    <x v="0"/>
    <s v="CONGO"/>
    <x v="0"/>
    <x v="0"/>
    <m/>
  </r>
  <r>
    <x v="22"/>
    <s v="Frais de virement salaire Janvier 2025"/>
    <s v="Bank fees"/>
    <s v="Office"/>
    <x v="72"/>
    <x v="82"/>
    <n v="596.19299999999998"/>
    <s v="BCI"/>
    <s v="BQ-J-R12"/>
    <s v="PALF"/>
    <x v="0"/>
    <s v="CONGO"/>
    <x v="0"/>
    <x v="0"/>
    <m/>
  </r>
  <r>
    <x v="23"/>
    <s v="Règlement prestation technicienne de surface (mois de Janvier 2025)"/>
    <s v="Services"/>
    <s v="Office"/>
    <x v="73"/>
    <x v="83"/>
    <n v="596.19299999999998"/>
    <s v="Merveille"/>
    <s v="CA-J-R34"/>
    <s v="PALF"/>
    <x v="0"/>
    <s v="CONGO"/>
    <x v="0"/>
    <x v="0"/>
    <m/>
  </r>
  <r>
    <x v="23"/>
    <s v="P29 - CONGO Frais d'hotel du 28 au 29/01/2025 à Ditadi/ 01 Nuitée"/>
    <s v="Travel Subsistence"/>
    <s v="Investigation"/>
    <x v="64"/>
    <x v="71"/>
    <n v="596.19299999999998"/>
    <s v="P29"/>
    <s v="P29-J-R16"/>
    <s v="PALF"/>
    <x v="0"/>
    <s v="CONGO"/>
    <x v="0"/>
    <x v="0"/>
    <m/>
  </r>
  <r>
    <x v="23"/>
    <s v="Achat billet ditadi-dolisie/P29"/>
    <s v="Transport"/>
    <s v="Investigation"/>
    <x v="67"/>
    <x v="76"/>
    <n v="596.19299999999998"/>
    <s v="P29"/>
    <s v="P29-J-R17"/>
    <s v="PALF"/>
    <x v="0"/>
    <s v="CONGO"/>
    <x v="0"/>
    <x v="0"/>
    <m/>
  </r>
  <r>
    <x v="23"/>
    <s v="Cumul frais de trust building du mois de Janvier 2025/P29"/>
    <s v="Trust Building"/>
    <s v="Investigation"/>
    <x v="74"/>
    <x v="84"/>
    <n v="570.21500000000003"/>
    <s v="P29"/>
    <s v="P29-J-D3"/>
    <s v="PALF"/>
    <x v="0"/>
    <s v="CONGO"/>
    <x v="0"/>
    <x v="0"/>
    <m/>
  </r>
  <r>
    <x v="23"/>
    <s v="Achat  billet : Passi Passi pour Dolisie/T73"/>
    <s v="Transport"/>
    <s v="Investigation"/>
    <x v="75"/>
    <x v="85"/>
    <n v="596.19299999999998"/>
    <s v="T73"/>
    <s v="T73-J-R12"/>
    <s v="PALF"/>
    <x v="0"/>
    <s v="CONGO"/>
    <x v="0"/>
    <x v="0"/>
    <m/>
  </r>
  <r>
    <x v="23"/>
    <s v="T73 - CONGO Frais d'hotel du 28 au 29/01/2025 (01nuitée ) à Passi Passi"/>
    <s v="Travel Subsistence"/>
    <s v="Investigation"/>
    <x v="64"/>
    <x v="71"/>
    <n v="596.19299999999998"/>
    <s v="T73"/>
    <s v="T73-J-R13"/>
    <s v="PALF"/>
    <x v="0"/>
    <s v="CONGO"/>
    <x v="0"/>
    <x v="0"/>
    <m/>
  </r>
  <r>
    <x v="23"/>
    <s v="Cumul frais de trust building du mois de Janvier 2025/T73"/>
    <s v="Trust Building"/>
    <s v="Investigation"/>
    <x v="76"/>
    <x v="86"/>
    <n v="570.21500000000003"/>
    <s v="T73"/>
    <s v="T73-J-D3"/>
    <s v="PALF"/>
    <x v="0"/>
    <s v="CONGO"/>
    <x v="0"/>
    <x v="0"/>
    <m/>
  </r>
  <r>
    <x v="23"/>
    <s v="G12-CONGO frais d'hotel du 28 au 29 /01/2025 à  mila mila( 1 nuitée)"/>
    <s v="Travel Subsistence"/>
    <s v="Investigation"/>
    <x v="64"/>
    <x v="71"/>
    <n v="596.19299999999998"/>
    <s v="G12"/>
    <s v="G12-J-R8"/>
    <s v="PALF"/>
    <x v="0"/>
    <s v="CONGO"/>
    <x v="0"/>
    <x v="0"/>
    <m/>
  </r>
  <r>
    <x v="23"/>
    <s v="Achat du billet mila mila -dolisie/G12"/>
    <s v="Transport"/>
    <s v="Investigation"/>
    <x v="67"/>
    <x v="76"/>
    <n v="596.19299999999998"/>
    <s v="G12"/>
    <s v="G12-J-R9"/>
    <s v="PALF"/>
    <x v="0"/>
    <s v="CONGO"/>
    <x v="0"/>
    <x v="0"/>
    <m/>
  </r>
  <r>
    <x v="23"/>
    <s v="G12 - CONGO frais d'hotel du 29 au 30 /01/2025 à  Dolisie( 1 nuitée)"/>
    <s v="Travel Subsistence"/>
    <s v="Investigation"/>
    <x v="64"/>
    <x v="71"/>
    <n v="596.19299999999998"/>
    <s v="G12"/>
    <s v="G12-J-R10"/>
    <s v="PALF"/>
    <x v="0"/>
    <s v="CONGO"/>
    <x v="0"/>
    <x v="0"/>
    <m/>
  </r>
  <r>
    <x v="24"/>
    <s v="IT87 - CONGO Frais d'hôtel Dzongo Benoit du 28 au 30/01/2025 à Madingou (02 Nuitées)"/>
    <s v="Travel Subsistence"/>
    <s v="Investigation"/>
    <x v="44"/>
    <x v="49"/>
    <n v="596.19299999999998"/>
    <s v="IT87"/>
    <s v="IT87-J-R8"/>
    <s v="PALF"/>
    <x v="0"/>
    <s v="CONGO"/>
    <x v="0"/>
    <x v="0"/>
    <m/>
  </r>
  <r>
    <x v="24"/>
    <s v="Achat billet Madingou - Brazzaville/ IT87"/>
    <s v="Transport"/>
    <s v="Investigation"/>
    <x v="12"/>
    <x v="53"/>
    <n v="596.19299999999998"/>
    <s v="IT87"/>
    <s v="IT87-J-R9"/>
    <s v="PALF"/>
    <x v="0"/>
    <s v="CONGO"/>
    <x v="0"/>
    <x v="0"/>
    <m/>
  </r>
  <r>
    <x v="24"/>
    <s v="Cumul frais de transport local du mois de Janvier 2025/IT87"/>
    <s v="Transport"/>
    <s v="Investigation"/>
    <x v="77"/>
    <x v="87"/>
    <n v="596.19299999999998"/>
    <s v="IT87"/>
    <s v="IT87-J-D3"/>
    <s v="PALF"/>
    <x v="0"/>
    <s v="CONGO"/>
    <x v="0"/>
    <x v="0"/>
    <m/>
  </r>
  <r>
    <x v="24"/>
    <s v="Achat billet Dolisie-Brazzaville/P29"/>
    <s v="Transport"/>
    <s v="Investigation"/>
    <x v="12"/>
    <x v="53"/>
    <n v="596.19299999999998"/>
    <s v="P29"/>
    <s v="P29-J-R18"/>
    <s v="PALF"/>
    <x v="0"/>
    <s v="CONGO"/>
    <x v="0"/>
    <x v="0"/>
    <m/>
  </r>
  <r>
    <x v="24"/>
    <s v="P29 - CONGO Frais d'hotel du 29 au 30/01/2025 à Dolisie (01 Nuitée)"/>
    <s v="Travel Subsistence"/>
    <s v="Investigation"/>
    <x v="64"/>
    <x v="71"/>
    <n v="596.19299999999998"/>
    <s v="P29"/>
    <s v="P29-J-R19"/>
    <s v="PALF"/>
    <x v="0"/>
    <s v="CONGO"/>
    <x v="0"/>
    <x v="0"/>
    <m/>
  </r>
  <r>
    <x v="24"/>
    <s v="Cumul frais de transport local du mois de Janvier 2025/P29"/>
    <s v="Transport"/>
    <s v="Investigation"/>
    <x v="78"/>
    <x v="88"/>
    <n v="596.19299999999998"/>
    <s v="P29"/>
    <s v="P29-J-D4"/>
    <s v="PALF"/>
    <x v="0"/>
    <s v="CONGO"/>
    <x v="0"/>
    <x v="0"/>
    <m/>
  </r>
  <r>
    <x v="24"/>
    <s v="T73 - CONGO Frais d'hotel du 29 au 30/01/2025 (01nuitées ) à Dolisie"/>
    <s v="Travel Subsistence"/>
    <s v="Investigation"/>
    <x v="64"/>
    <x v="71"/>
    <n v="596.19299999999998"/>
    <s v="T73"/>
    <s v="T73-J-R14"/>
    <s v="PALF"/>
    <x v="0"/>
    <s v="CONGO"/>
    <x v="0"/>
    <x v="0"/>
    <m/>
  </r>
  <r>
    <x v="24"/>
    <s v="Achat billet : Dolisie - Brazzaville/ T73"/>
    <s v="Transport"/>
    <s v="Investigation"/>
    <x v="37"/>
    <x v="72"/>
    <n v="596.19299999999998"/>
    <s v="T73"/>
    <s v="T73-J-R15"/>
    <s v="PALF"/>
    <x v="0"/>
    <s v="CONGO"/>
    <x v="0"/>
    <x v="0"/>
    <m/>
  </r>
  <r>
    <x v="24"/>
    <s v="Cumul frais de transport local du mois de Janvier 2025/T73"/>
    <s v="Transport"/>
    <s v="Investigation"/>
    <x v="79"/>
    <x v="89"/>
    <n v="596.19299999999998"/>
    <s v="T73"/>
    <s v="T73-J-D4"/>
    <s v="PALF"/>
    <x v="0"/>
    <s v="CONGO"/>
    <x v="0"/>
    <x v="0"/>
    <m/>
  </r>
  <r>
    <x v="24"/>
    <s v="Achat billet : Dolisie - brazzaville/G12"/>
    <s v="Transport"/>
    <s v="Investigation"/>
    <x v="37"/>
    <x v="72"/>
    <n v="596.19299999999998"/>
    <s v="G12"/>
    <s v="G12-J-R11"/>
    <s v="PALF"/>
    <x v="0"/>
    <s v="CONGO"/>
    <x v="0"/>
    <x v="0"/>
    <m/>
  </r>
  <r>
    <x v="24"/>
    <s v="Cumul frais de transport local du mois Janvier 2025/G12"/>
    <s v="Transport"/>
    <s v="Investigation"/>
    <x v="80"/>
    <x v="90"/>
    <n v="596.19299999999998"/>
    <s v="G12"/>
    <s v="G12-J-D3"/>
    <s v="PALF"/>
    <x v="0"/>
    <s v="CONGO"/>
    <x v="0"/>
    <x v="0"/>
    <m/>
  </r>
  <r>
    <x v="24"/>
    <s v="Cumul frais de transport local du mois de Janvier 2025/Roderlin"/>
    <s v="Transport"/>
    <s v="Legal"/>
    <x v="81"/>
    <x v="91"/>
    <n v="596.19299999999998"/>
    <s v="Roderlin"/>
    <s v="RO-J-D3"/>
    <s v="PALF"/>
    <x v="0"/>
    <s v="CONGO"/>
    <x v="0"/>
    <x v="0"/>
    <m/>
  </r>
  <r>
    <x v="24"/>
    <s v="Cumul frais de transport local du mois de Janvier 2025/EVARISTE"/>
    <s v="Transport"/>
    <s v="Media"/>
    <x v="82"/>
    <x v="92"/>
    <n v="596.19299999999998"/>
    <s v="Evariste"/>
    <s v="EV-J-D2"/>
    <s v="PALF"/>
    <x v="0"/>
    <s v="CONGO"/>
    <x v="0"/>
    <x v="0"/>
    <m/>
  </r>
  <r>
    <x v="24"/>
    <s v="Bonus media portant sur le bilan des interpellation de 2023 et 2024"/>
    <s v="Bonus to media office"/>
    <s v="Media"/>
    <x v="83"/>
    <x v="93"/>
    <n v="596.19299999999998"/>
    <s v="Evariste"/>
    <s v="CA-J-D5"/>
    <s v="PALF"/>
    <x v="0"/>
    <s v="CONGO"/>
    <x v="0"/>
    <x v="0"/>
    <m/>
  </r>
  <r>
    <x v="25"/>
    <s v="Cumul frais de transport local du mois de Janvier 2025/DOVI"/>
    <s v="Transport"/>
    <s v="Management"/>
    <x v="84"/>
    <x v="94"/>
    <n v="596.19299999999998"/>
    <s v="DOVI"/>
    <s v="DH-J-D1"/>
    <s v="PALF"/>
    <x v="0"/>
    <s v="CONGO"/>
    <x v="0"/>
    <x v="0"/>
    <m/>
  </r>
  <r>
    <x v="25"/>
    <s v="Reglement loyer du mois de Janvier 2025/DOVI Coordinateur PALF"/>
    <s v="Personnel"/>
    <s v="Management"/>
    <x v="85"/>
    <x v="95"/>
    <n v="596.19299999999998"/>
    <s v="DOVI"/>
    <s v="DH-J-R3"/>
    <s v="PALF"/>
    <x v="0"/>
    <s v="CONGO"/>
    <x v="0"/>
    <x v="0"/>
    <m/>
  </r>
  <r>
    <x v="25"/>
    <s v="Cumul frais de transport local du mois de Janvier 2025/Merveille"/>
    <s v="Transport"/>
    <s v="Office"/>
    <x v="86"/>
    <x v="96"/>
    <n v="596.19299999999998"/>
    <s v="Merveille"/>
    <s v="ME-J-D1"/>
    <s v="PALF"/>
    <x v="0"/>
    <s v="CONGO"/>
    <x v="0"/>
    <x v="0"/>
    <m/>
  </r>
  <r>
    <x v="25"/>
    <s v="Ramassage Ordure/bureau PALF"/>
    <s v="Services"/>
    <s v="Office"/>
    <x v="63"/>
    <x v="70"/>
    <n v="596.19299999999998"/>
    <s v="Merveille"/>
    <s v="CA-J-R35"/>
    <s v="PALF"/>
    <x v="0"/>
    <s v="CONGO"/>
    <x v="0"/>
    <x v="0"/>
    <m/>
  </r>
  <r>
    <x v="25"/>
    <s v="Reglement facture internet perionde du 01/02 au 28/02/2025 bureau PALF"/>
    <s v="Internet "/>
    <s v="Office"/>
    <x v="87"/>
    <x v="97"/>
    <n v="596.19299999999998"/>
    <s v="Merveille"/>
    <s v="CA-J-R36"/>
    <s v="PALF"/>
    <x v="0"/>
    <s v="CONGO"/>
    <x v="0"/>
    <x v="0"/>
    <m/>
  </r>
  <r>
    <x v="25"/>
    <s v="Cumul frais de transport local du mois de Janvier 2025/LOUNDOU Jean Romain"/>
    <s v="Transport"/>
    <s v="Legal"/>
    <x v="88"/>
    <x v="98"/>
    <n v="596.19299999999998"/>
    <s v="Romain"/>
    <s v="RM-J-D3"/>
    <s v="PALF"/>
    <x v="0"/>
    <s v="CONGO"/>
    <x v="0"/>
    <x v="0"/>
    <m/>
  </r>
  <r>
    <x v="25"/>
    <s v="Installation Pack office et activation et installation des pratiques logiques"/>
    <s v="Website and software"/>
    <s v="Office"/>
    <x v="30"/>
    <x v="99"/>
    <n v="596.19299999999998"/>
    <s v="Abraham"/>
    <s v="CA-J-R37"/>
    <s v="PALF"/>
    <x v="0"/>
    <s v="CONGO"/>
    <x v="0"/>
    <x v="0"/>
    <m/>
  </r>
  <r>
    <x v="25"/>
    <s v="Reglement honoraire du mois de Janvier 2025/G12"/>
    <s v="Personnel"/>
    <s v="Investigation"/>
    <x v="89"/>
    <x v="100"/>
    <n v="596.19299999999998"/>
    <s v="BCI"/>
    <s v="BQ-J-R15"/>
    <s v="PALF"/>
    <x v="0"/>
    <s v="CONGO"/>
    <x v="0"/>
    <x v="0"/>
    <m/>
  </r>
  <r>
    <x v="25"/>
    <s v="Reglement honoraire du mois de Janvier 2025/T73"/>
    <s v="Personnel"/>
    <s v="Investigation"/>
    <x v="90"/>
    <x v="101"/>
    <n v="596.19299999999998"/>
    <s v="BCI"/>
    <s v="BQ-J-R16"/>
    <s v="PALF"/>
    <x v="0"/>
    <s v="CONGO"/>
    <x v="0"/>
    <x v="0"/>
    <m/>
  </r>
  <r>
    <x v="25"/>
    <s v="Reglement honoraire du mois de Janvier 2025/P29"/>
    <s v="Personnel"/>
    <s v="Investigation"/>
    <x v="91"/>
    <x v="102"/>
    <n v="596.19299999999998"/>
    <s v="BCI"/>
    <s v="BQ-J-R17"/>
    <s v="PALF"/>
    <x v="0"/>
    <s v="CONGO"/>
    <x v="0"/>
    <x v="0"/>
    <m/>
  </r>
  <r>
    <x v="25"/>
    <s v="Reglement honoraire du mois de Janvier 2025/TIT87"/>
    <s v="Personnel"/>
    <s v="Investigation"/>
    <x v="89"/>
    <x v="100"/>
    <n v="596.19299999999998"/>
    <s v="BCI"/>
    <s v="BQ-J-R18"/>
    <s v="PALF"/>
    <x v="0"/>
    <s v="CONGO"/>
    <x v="0"/>
    <x v="0"/>
    <m/>
  </r>
  <r>
    <x v="26"/>
    <s v="Achat credit  teléphonique MTN/PALF/Première partie du mois de Février 2025/Management"/>
    <s v="Telephone"/>
    <s v="Management"/>
    <x v="92"/>
    <x v="103"/>
    <n v="596.19299999999998"/>
    <s v="Merveille"/>
    <s v="CA-F-R1"/>
    <s v="PALF"/>
    <x v="0"/>
    <s v="CONGO"/>
    <x v="0"/>
    <x v="0"/>
    <m/>
  </r>
  <r>
    <x v="26"/>
    <s v="Achat credit  teléphonique MTN/PALF/Première partie du mois de Février 2025/Legal"/>
    <s v="Telephone"/>
    <s v="Legal"/>
    <x v="93"/>
    <x v="104"/>
    <n v="596.19299999999998"/>
    <s v="Merveille"/>
    <s v="CA-F-R2"/>
    <s v="PALF"/>
    <x v="0"/>
    <s v="CONGO"/>
    <x v="0"/>
    <x v="0"/>
    <m/>
  </r>
  <r>
    <x v="26"/>
    <s v="Achat credit  teléphonique MTN/PALF/Première partie du mois de Février 2025/Investigation"/>
    <s v="Telephone"/>
    <s v="Investigation"/>
    <x v="3"/>
    <x v="105"/>
    <n v="596.19299999999998"/>
    <s v="Merveille"/>
    <s v="CA-F-R3"/>
    <s v="PALF"/>
    <x v="0"/>
    <s v="CONGO"/>
    <x v="0"/>
    <x v="0"/>
    <m/>
  </r>
  <r>
    <x v="26"/>
    <s v="Achat credit  teléphonique MTN/PALF/Première partie du mois de Février 2025/Media"/>
    <s v="Telephone"/>
    <s v="Media"/>
    <x v="4"/>
    <x v="106"/>
    <n v="596.19299999999998"/>
    <s v="Merveille"/>
    <s v="CA-F-R4"/>
    <s v="PALF"/>
    <x v="0"/>
    <s v="CONGO"/>
    <x v="0"/>
    <x v="0"/>
    <m/>
  </r>
  <r>
    <x v="26"/>
    <s v="Achat credit  teléphonique Airtel/PALF/Première partie du mois de Février 2025/Legal"/>
    <s v="Telephone"/>
    <s v="Legal"/>
    <x v="4"/>
    <x v="106"/>
    <n v="596.19299999999998"/>
    <s v="Merveille"/>
    <s v="CA-F-R5"/>
    <s v="PALF"/>
    <x v="0"/>
    <s v="CONGO"/>
    <x v="0"/>
    <x v="0"/>
    <m/>
  </r>
  <r>
    <x v="26"/>
    <s v="Achat credit  teléphonique Airtel/PALF/Première partie du mois de Février 2025/Investigation"/>
    <s v="Telephone"/>
    <s v="Investigation"/>
    <x v="5"/>
    <x v="107"/>
    <n v="596.19299999999998"/>
    <s v="Merveille"/>
    <s v="CA-F-R6"/>
    <s v="PALF"/>
    <x v="0"/>
    <s v="CONGO"/>
    <x v="0"/>
    <x v="0"/>
    <m/>
  </r>
  <r>
    <x v="26"/>
    <s v="Achat credit  teléphonique Airtel/PALF/Première partie du mois de Février 2025/Media"/>
    <s v="Telephone"/>
    <s v="Media"/>
    <x v="6"/>
    <x v="108"/>
    <n v="596.19299999999998"/>
    <s v="Merveille"/>
    <s v="CA-F-R7"/>
    <s v="PALF"/>
    <x v="0"/>
    <s v="CONGO"/>
    <x v="0"/>
    <x v="0"/>
    <m/>
  </r>
  <r>
    <x v="27"/>
    <s v="Achat  Billet  Brazzaville-Owando/Romain"/>
    <s v="Transport"/>
    <s v="Legal"/>
    <x v="12"/>
    <x v="53"/>
    <n v="596.19299999999998"/>
    <s v="Romain"/>
    <s v="RM-F-R1"/>
    <s v="PALF"/>
    <x v="0"/>
    <s v="CONGO"/>
    <x v="0"/>
    <x v="0"/>
    <m/>
  </r>
  <r>
    <x v="27"/>
    <s v="Frais de mission maitre Alain BANZOUZI du 05 au 07 Février 2025 à Owando suivi audience"/>
    <s v="Lawyer Fees"/>
    <s v="Legal"/>
    <x v="21"/>
    <x v="109"/>
    <n v="596.19299999999998"/>
    <s v="Romain"/>
    <s v="CA-F-R8"/>
    <s v="PALF"/>
    <x v="0"/>
    <s v="CONGO"/>
    <x v="0"/>
    <x v="0"/>
    <m/>
  </r>
  <r>
    <x v="27"/>
    <s v=" Achat billet Brazzaville- Owando/Roderlin"/>
    <s v="Transport"/>
    <s v="Legal"/>
    <x v="12"/>
    <x v="53"/>
    <n v="596.19299999999998"/>
    <s v="Roderlin"/>
    <s v="RO-F-R1"/>
    <s v="PALF"/>
    <x v="0"/>
    <s v="CONGO"/>
    <x v="0"/>
    <x v="0"/>
    <m/>
  </r>
  <r>
    <x v="27"/>
    <s v="Reglement Facture Gardiennage Mois de Janvier 2025/36564792"/>
    <s v="Services"/>
    <s v="Office"/>
    <x v="10"/>
    <x v="10"/>
    <n v="596.19299999999998"/>
    <s v="BCI"/>
    <s v="BQ-F-R1"/>
    <s v="PALF"/>
    <x v="0"/>
    <s v="CONGO"/>
    <x v="0"/>
    <x v="0"/>
    <m/>
  </r>
  <r>
    <x v="27"/>
    <s v="Achat billet Brazzaville - Makoua/ IT87"/>
    <s v="Transport"/>
    <s v="Investigation"/>
    <x v="94"/>
    <x v="110"/>
    <n v="596.19299999999998"/>
    <s v="IT87"/>
    <s v="IT87-F-R1"/>
    <s v="PALF"/>
    <x v="0"/>
    <s v="CONGO"/>
    <x v="0"/>
    <x v="0"/>
    <m/>
  </r>
  <r>
    <x v="28"/>
    <s v="Achat billet brazzaville-oyo/P29"/>
    <s v="Transport"/>
    <s v="Investigation"/>
    <x v="63"/>
    <x v="70"/>
    <n v="596.19299999999998"/>
    <s v="P29"/>
    <s v="P29-F-R1"/>
    <s v="PALF"/>
    <x v="0"/>
    <s v="CONGO"/>
    <x v="0"/>
    <x v="0"/>
    <m/>
  </r>
  <r>
    <x v="28"/>
    <s v="Achat eau mineral 16 LITRES/Bureau"/>
    <s v="Office Materiels"/>
    <s v="Office"/>
    <x v="7"/>
    <x v="111"/>
    <n v="596.19299999999998"/>
    <s v="Merveille"/>
    <s v="CA-F-R9"/>
    <s v="PALF"/>
    <x v="0"/>
    <s v="CONGO"/>
    <x v="0"/>
    <x v="0"/>
    <m/>
  </r>
  <r>
    <x v="28"/>
    <s v="Achat produit d'entretien lait,sucre,javel,papier toilette,sucre,café/Bureau PALF"/>
    <s v="Office Materiels"/>
    <s v="Office"/>
    <x v="95"/>
    <x v="112"/>
    <n v="596.19299999999998"/>
    <s v="Merveille"/>
    <s v="CA-F-R10"/>
    <s v="PALF"/>
    <x v="0"/>
    <s v="CONGO"/>
    <x v="0"/>
    <x v="0"/>
    <m/>
  </r>
  <r>
    <x v="28"/>
    <s v="P29 - CONGO Ration  du 05 au 28/02/2025 à Oyo,Tchikapika et Owando(23 Nuitées)"/>
    <s v="Travel Subsistence"/>
    <s v="Investigation"/>
    <x v="96"/>
    <x v="113"/>
    <n v="596.19299999999998"/>
    <s v="P29"/>
    <s v="P29-F-D1"/>
    <s v="PALF"/>
    <x v="0"/>
    <s v="CONGO"/>
    <x v="0"/>
    <x v="0"/>
    <m/>
  </r>
  <r>
    <x v="28"/>
    <s v="IT87 - CONGO Ration du 05 au 12/02/2025 à Makoua,etoumbi,Otende"/>
    <s v="Travel Subsistence"/>
    <s v="Investigation"/>
    <x v="21"/>
    <x v="109"/>
    <n v="596.19299999999998"/>
    <s v="IT87"/>
    <s v="IT87-F-D1"/>
    <s v="PALF"/>
    <x v="0"/>
    <s v="CONGO"/>
    <x v="0"/>
    <x v="0"/>
    <m/>
  </r>
  <r>
    <x v="28"/>
    <s v="Achat billet Makoua - Etoumbi/ IT87"/>
    <s v="Transport"/>
    <s v="Investigation"/>
    <x v="31"/>
    <x v="69"/>
    <n v="596.19299999999998"/>
    <s v="IT87"/>
    <s v="IT87-F-R1"/>
    <s v="PALF"/>
    <x v="0"/>
    <s v="CONGO"/>
    <x v="0"/>
    <x v="0"/>
    <m/>
  </r>
  <r>
    <x v="28"/>
    <s v="ROMAIN-CONGO: Ration du 05 au 07/02/2025 à Owando"/>
    <s v="Travel Subsistence"/>
    <s v="Legal"/>
    <x v="0"/>
    <x v="52"/>
    <n v="596.19299999999998"/>
    <s v="Romain"/>
    <s v="RM-F-D1"/>
    <s v="PALF"/>
    <x v="0"/>
    <s v="CONGO"/>
    <x v="0"/>
    <x v="0"/>
    <m/>
  </r>
  <r>
    <x v="28"/>
    <s v="RODERLIN-CONGO Ration du 05 au 07/02/2025 à Owando (02 nuitées)"/>
    <s v="Travel Subsistence"/>
    <s v="Legal"/>
    <x v="0"/>
    <x v="52"/>
    <n v="596.19299999999998"/>
    <s v="Roderlin"/>
    <s v="RO-F-D1"/>
    <s v="PALF"/>
    <x v="0"/>
    <s v="CONGO"/>
    <x v="0"/>
    <x v="0"/>
    <m/>
  </r>
  <r>
    <x v="28"/>
    <s v="Reglement loyer du mois de Janvier 2025/3654789"/>
    <s v="Rent &amp; Utilities"/>
    <s v="Office"/>
    <x v="9"/>
    <x v="9"/>
    <n v="596.19299999999998"/>
    <s v="BCI"/>
    <s v="BQ-F-R2"/>
    <s v="PALF"/>
    <x v="0"/>
    <s v="CONGO"/>
    <x v="0"/>
    <x v="0"/>
    <m/>
  </r>
  <r>
    <x v="29"/>
    <s v="Achat billet : Brazzaville - Makoua/T73"/>
    <s v="Transport"/>
    <s v="Investigation"/>
    <x v="94"/>
    <x v="110"/>
    <n v="596.19299999999998"/>
    <s v="T73"/>
    <s v="T73-F-R1"/>
    <s v="PALF"/>
    <x v="0"/>
    <s v="CONGO"/>
    <x v="0"/>
    <x v="0"/>
    <m/>
  </r>
  <r>
    <x v="29"/>
    <s v="T73 - CONGO Ration du 06 au 28/12/2024 (22nuitées)à Makoua et Owando"/>
    <s v="Travel Subsistence"/>
    <s v="Investigation"/>
    <x v="97"/>
    <x v="114"/>
    <n v="596.19299999999998"/>
    <s v="T73"/>
    <s v="T73-F-D1"/>
    <s v="PALF"/>
    <x v="0"/>
    <s v="CONGO"/>
    <x v="0"/>
    <x v="0"/>
    <m/>
  </r>
  <r>
    <x v="29"/>
    <s v="Bonus media portant sur l'audience du 06 Février au TG1 d'Owando"/>
    <s v="Bonus to media office"/>
    <s v="Media"/>
    <x v="83"/>
    <x v="93"/>
    <n v="596.19299999999998"/>
    <s v="Evariste"/>
    <s v="CA-F-D1"/>
    <s v="PALF"/>
    <x v="0"/>
    <s v="CONGO"/>
    <x v="0"/>
    <x v="0"/>
    <m/>
  </r>
  <r>
    <x v="30"/>
    <s v="Achat billet oyo-tchikapika/P29"/>
    <s v="Transport"/>
    <s v="Investigation"/>
    <x v="31"/>
    <x v="69"/>
    <n v="596.19299999999998"/>
    <s v="P29"/>
    <s v="P29-F-R2"/>
    <s v="PALF"/>
    <x v="0"/>
    <s v="CONGO"/>
    <x v="0"/>
    <x v="0"/>
    <m/>
  </r>
  <r>
    <x v="30"/>
    <s v="P29 - CONGO Frais d'hotel du 05 au 07/02/2025 à oyo(02 Nuitées)"/>
    <s v="Travel Subsistence"/>
    <s v="Investigation"/>
    <x v="44"/>
    <x v="49"/>
    <n v="596.19299999999998"/>
    <s v="P29"/>
    <s v="P29-F-R3"/>
    <s v="PALF"/>
    <x v="0"/>
    <s v="CONGO"/>
    <x v="0"/>
    <x v="0"/>
    <m/>
  </r>
  <r>
    <x v="30"/>
    <s v="IT87 - CONGO Frais d'hôtel Akoua du 05 au 07/02/2025 à Etoumbi (02 nuitées)"/>
    <s v="Travel Subsistence"/>
    <s v="Investigation"/>
    <x v="44"/>
    <x v="49"/>
    <n v="596.19299999999998"/>
    <s v="IT87"/>
    <s v="IT87-F-R1"/>
    <s v="PALF"/>
    <x v="0"/>
    <s v="CONGO"/>
    <x v="0"/>
    <x v="0"/>
    <m/>
  </r>
  <r>
    <x v="30"/>
    <s v="Achat billet Etoumbi - Makoua/ IT87"/>
    <s v="Transport"/>
    <s v="Investigation"/>
    <x v="31"/>
    <x v="69"/>
    <n v="596.19299999999998"/>
    <s v="IT87"/>
    <s v="IT87-F-R2"/>
    <s v="PALF"/>
    <x v="0"/>
    <s v="CONGO"/>
    <x v="0"/>
    <x v="0"/>
    <m/>
  </r>
  <r>
    <x v="30"/>
    <s v="Achat billet Makoua - Otende/ IT87"/>
    <s v="Transport"/>
    <s v="Investigation"/>
    <x v="98"/>
    <x v="115"/>
    <n v="596.19299999999998"/>
    <s v="IT87"/>
    <s v="IT87-F-R3"/>
    <s v="PALF"/>
    <x v="0"/>
    <s v="CONGO"/>
    <x v="0"/>
    <x v="0"/>
    <m/>
  </r>
  <r>
    <x v="30"/>
    <s v="Achat billet retour Owando-Brazzaville/Romain"/>
    <s v="Transport"/>
    <s v="Legal"/>
    <x v="12"/>
    <x v="53"/>
    <n v="596.19299999999998"/>
    <s v="Romain"/>
    <s v="RM-F-R2"/>
    <s v="PALF"/>
    <x v="0"/>
    <s v="CONGO"/>
    <x v="0"/>
    <x v="0"/>
    <m/>
  </r>
  <r>
    <x v="30"/>
    <s v="ROMAIN - CONGO Frais d'hotel du 05 au 07/02/2025 à Owando(2 nuitées)"/>
    <s v="Travel Subsistence"/>
    <s v="Legal"/>
    <x v="44"/>
    <x v="49"/>
    <n v="596.19299999999998"/>
    <s v="Romain"/>
    <s v="RM-F-R3"/>
    <s v="PALF"/>
    <x v="0"/>
    <s v="CONGO"/>
    <x v="0"/>
    <x v="0"/>
    <m/>
  </r>
  <r>
    <x v="30"/>
    <s v="Achat billet Owando- Brazzaville /Roderlin"/>
    <s v="Transport"/>
    <s v="Legal"/>
    <x v="12"/>
    <x v="53"/>
    <n v="596.19299999999998"/>
    <s v="Roderlin"/>
    <s v="RO-F-R2"/>
    <s v="PALF"/>
    <x v="0"/>
    <s v="CONGO"/>
    <x v="0"/>
    <x v="0"/>
    <m/>
  </r>
  <r>
    <x v="30"/>
    <s v="RODERLIN-CONGO frais d'hôtel du 05 au 07/02/2025 à Owando (02 nuitées)"/>
    <s v="Travel Subsistence"/>
    <s v="Legal"/>
    <x v="44"/>
    <x v="49"/>
    <n v="596.19299999999998"/>
    <s v="Roderlin"/>
    <s v="RO-F-R3"/>
    <s v="PALF"/>
    <x v="0"/>
    <s v="CONGO"/>
    <x v="0"/>
    <x v="0"/>
    <m/>
  </r>
  <r>
    <x v="30"/>
    <s v="Frais de transfert d'argent à T73"/>
    <s v="Transfert fees"/>
    <s v="Office"/>
    <x v="99"/>
    <x v="116"/>
    <n v="596.19299999999998"/>
    <s v="Abraham"/>
    <s v="CA-F-R11"/>
    <s v="PALF"/>
    <x v="0"/>
    <s v="CONGO"/>
    <x v="0"/>
    <x v="0"/>
    <m/>
  </r>
  <r>
    <x v="30"/>
    <s v="Frais de transfert d'argent à P29 et IT87"/>
    <s v="Transfert fees"/>
    <s v="Office"/>
    <x v="100"/>
    <x v="117"/>
    <n v="613.82180000000005"/>
    <s v="Roderlin"/>
    <s v="CA-F-R32"/>
    <s v="PALF"/>
    <x v="1"/>
    <s v="CONGO"/>
    <x v="0"/>
    <x v="0"/>
    <m/>
  </r>
  <r>
    <x v="31"/>
    <s v="Achat billet :Brazzaville -loudima /G12"/>
    <s v="Transport"/>
    <s v="Investigation"/>
    <x v="37"/>
    <x v="72"/>
    <n v="596.19299999999998"/>
    <s v="G12"/>
    <s v="G12-F-R1"/>
    <s v="PALF"/>
    <x v="0"/>
    <s v="CONGO"/>
    <x v="0"/>
    <x v="0"/>
    <m/>
  </r>
  <r>
    <x v="31"/>
    <s v="G12 - CONGO  Ration du 08 au 15 /02/2025(07 Nuitées)"/>
    <s v="Travel Subsistence"/>
    <s v="Investigation"/>
    <x v="21"/>
    <x v="109"/>
    <n v="596.19299999999998"/>
    <s v="G12"/>
    <s v="G12-F-D1"/>
    <s v="PALF"/>
    <x v="0"/>
    <s v="CONGO"/>
    <x v="0"/>
    <x v="0"/>
    <m/>
  </r>
  <r>
    <x v="31"/>
    <s v="Achat billet: Loudima - sibiti/G12"/>
    <s v="Transport"/>
    <s v="Investigation"/>
    <x v="101"/>
    <x v="118"/>
    <n v="596.19299999999998"/>
    <s v="G12"/>
    <s v="G12-F-R2"/>
    <s v="PALF"/>
    <x v="0"/>
    <s v="CONGO"/>
    <x v="0"/>
    <x v="0"/>
    <m/>
  </r>
  <r>
    <x v="32"/>
    <s v="P29 -CONGO Frais d'hotel du 07 au 09/02/2025 à tchikapika(02 Nuitées)"/>
    <s v="Travel Subsistence"/>
    <s v="Investigation"/>
    <x v="44"/>
    <x v="49"/>
    <n v="596.19299999999998"/>
    <s v="P29"/>
    <s v="P29-F-R4"/>
    <s v="PALF"/>
    <x v="0"/>
    <s v="CONGO"/>
    <x v="0"/>
    <x v="0"/>
    <m/>
  </r>
  <r>
    <x v="32"/>
    <s v="Achat billet tchikapika-ombele/P29"/>
    <s v="Transport"/>
    <s v="Investigation"/>
    <x v="31"/>
    <x v="69"/>
    <n v="596.19299999999998"/>
    <s v="P29"/>
    <s v="P29-F-R5"/>
    <s v="PALF"/>
    <x v="0"/>
    <s v="CONGO"/>
    <x v="0"/>
    <x v="0"/>
    <m/>
  </r>
  <r>
    <x v="32"/>
    <s v="Cumul frais de trust building du mois de Février 2025/P29"/>
    <s v="Trust Building"/>
    <s v="Investigation"/>
    <x v="102"/>
    <x v="119"/>
    <n v="596.19299999999998"/>
    <s v="P29"/>
    <s v="P29-F-D2"/>
    <s v="PALF"/>
    <x v="0"/>
    <s v="CONGO"/>
    <x v="0"/>
    <x v="0"/>
    <m/>
  </r>
  <r>
    <x v="32"/>
    <s v="IT87 - CONGOFrais d'hôtel le Pépin du 07 au 09/02/2025 à Otende (02 nuitées)"/>
    <s v="Travel Subsistence"/>
    <s v="Investigation"/>
    <x v="44"/>
    <x v="49"/>
    <n v="596.19299999999998"/>
    <s v="IT87"/>
    <s v="IT87-F-R4"/>
    <s v="PALF"/>
    <x v="0"/>
    <s v="CONGO"/>
    <x v="0"/>
    <x v="0"/>
    <m/>
  </r>
  <r>
    <x v="32"/>
    <s v="Achat billet Otende - Oyo/ IT87"/>
    <s v="Transport"/>
    <s v="Investigation"/>
    <x v="67"/>
    <x v="76"/>
    <n v="596.19299999999998"/>
    <s v="IT87"/>
    <s v="IT87-F-R5"/>
    <s v="PALF"/>
    <x v="0"/>
    <s v="CONGO"/>
    <x v="0"/>
    <x v="0"/>
    <m/>
  </r>
  <r>
    <x v="33"/>
    <s v="P29 - CONGO Frais d'hotel du 09 au 10/02/2025 à ombele (01 Nuitée)"/>
    <s v="Travel Subsistence"/>
    <s v="Investigation"/>
    <x v="64"/>
    <x v="71"/>
    <n v="596.19299999999998"/>
    <s v="P29"/>
    <s v="P29-F-R6"/>
    <s v="PALF"/>
    <x v="0"/>
    <s v="CONGO"/>
    <x v="0"/>
    <x v="0"/>
    <m/>
  </r>
  <r>
    <x v="33"/>
    <s v="Achat billet ombele-owando/P29"/>
    <s v="Transport"/>
    <s v="Investigation"/>
    <x v="31"/>
    <x v="69"/>
    <n v="596.19299999999998"/>
    <s v="P29"/>
    <s v="P29-F-R7"/>
    <s v="PALF"/>
    <x v="0"/>
    <s v="CONGO"/>
    <x v="0"/>
    <x v="0"/>
    <m/>
  </r>
  <r>
    <x v="33"/>
    <s v="T73 - CONGO Frais d'hotel du 06 au 10/02/2025 (04nuitées ) à Makoua"/>
    <s v="Travel Subsistence"/>
    <s v="Investigation"/>
    <x v="23"/>
    <x v="75"/>
    <n v="596.19299999999998"/>
    <s v="T73"/>
    <s v="T73-F-R2"/>
    <s v="PALF"/>
    <x v="0"/>
    <s v="CONGO"/>
    <x v="0"/>
    <x v="0"/>
    <m/>
  </r>
  <r>
    <x v="33"/>
    <s v="Achat billet : makoua - Owando/T73"/>
    <s v="Transport"/>
    <s v="Investigation"/>
    <x v="67"/>
    <x v="76"/>
    <n v="596.19299999999998"/>
    <s v="T73"/>
    <s v="T73-F-R4"/>
    <s v="PALF"/>
    <x v="0"/>
    <s v="CONGO"/>
    <x v="0"/>
    <x v="0"/>
    <m/>
  </r>
  <r>
    <x v="33"/>
    <s v="Frais de transfert d'argent à G12"/>
    <s v="Transfert fees"/>
    <s v="Office"/>
    <x v="103"/>
    <x v="120"/>
    <n v="596.19299999999998"/>
    <s v="Roderlin"/>
    <s v="CA-F-R12"/>
    <s v="PALF"/>
    <x v="0"/>
    <s v="CONGO"/>
    <x v="0"/>
    <x v="0"/>
    <m/>
  </r>
  <r>
    <x v="34"/>
    <s v="Bonus du mois de Janvier 2025/Merveille"/>
    <s v="Personnel"/>
    <s v="Office"/>
    <x v="104"/>
    <x v="121"/>
    <n v="596.19299999999998"/>
    <s v="Merveille"/>
    <s v="CA-F-D2"/>
    <s v="PALF"/>
    <x v="0"/>
    <s v="CONGO"/>
    <x v="0"/>
    <x v="0"/>
    <m/>
  </r>
  <r>
    <x v="34"/>
    <s v="Bonus du mois de Janvier 2025/Crepin"/>
    <s v="Personnel"/>
    <s v="Legal"/>
    <x v="44"/>
    <x v="49"/>
    <n v="596.19299999999998"/>
    <s v="Merveille"/>
    <s v="CA-F-D3"/>
    <s v="PALF"/>
    <x v="0"/>
    <s v="CONGO"/>
    <x v="0"/>
    <x v="0"/>
    <m/>
  </r>
  <r>
    <x v="34"/>
    <s v="Bonus du mois de Janvier 2025/Romain"/>
    <s v="Personnel"/>
    <s v="Legal"/>
    <x v="44"/>
    <x v="49"/>
    <n v="596.19299999999998"/>
    <s v="Merveille"/>
    <s v="CA-F-D4"/>
    <s v="PALF"/>
    <x v="0"/>
    <s v="CONGO"/>
    <x v="0"/>
    <x v="0"/>
    <m/>
  </r>
  <r>
    <x v="34"/>
    <s v="Bonus du mois de Janvier 2025/Abraham"/>
    <s v="Personnel"/>
    <s v="Legal"/>
    <x v="44"/>
    <x v="49"/>
    <n v="596.19299999999998"/>
    <s v="Merveille"/>
    <s v="CA-F-D5"/>
    <s v="PALF"/>
    <x v="0"/>
    <s v="CONGO"/>
    <x v="0"/>
    <x v="0"/>
    <m/>
  </r>
  <r>
    <x v="34"/>
    <s v="Bonus du mois de Janvier 2025/Roderlin"/>
    <s v="Personnel"/>
    <s v="Legal"/>
    <x v="44"/>
    <x v="49"/>
    <n v="596.19299999999998"/>
    <s v="Merveille"/>
    <s v="CA-F-D6"/>
    <s v="PALF"/>
    <x v="0"/>
    <s v="CONGO"/>
    <x v="0"/>
    <x v="0"/>
    <m/>
  </r>
  <r>
    <x v="34"/>
    <s v="Bonus du mois de Janvier 2025/Evariste"/>
    <s v="Personnel"/>
    <s v="Media"/>
    <x v="44"/>
    <x v="49"/>
    <n v="596.19299999999998"/>
    <s v="Merveille"/>
    <s v="CA-F-D7"/>
    <s v="PALF"/>
    <x v="0"/>
    <s v="CONGO"/>
    <x v="0"/>
    <x v="0"/>
    <m/>
  </r>
  <r>
    <x v="34"/>
    <s v="Bonus opération du 15/01/2025 à Owando/Crepin"/>
    <s v="Bonus"/>
    <s v="Operation"/>
    <x v="29"/>
    <x v="122"/>
    <n v="596.19299999999998"/>
    <s v="Merveille"/>
    <s v="CA-F-D8"/>
    <s v="PALF"/>
    <x v="0"/>
    <s v="CONGO"/>
    <x v="0"/>
    <x v="0"/>
    <m/>
  </r>
  <r>
    <x v="34"/>
    <s v="Bonus opération du 15/01/2025 à Owando/Romain"/>
    <s v="Bonus"/>
    <s v="Operation"/>
    <x v="44"/>
    <x v="49"/>
    <n v="596.19299999999998"/>
    <s v="Merveille"/>
    <s v="CA-F-D9"/>
    <s v="PALF"/>
    <x v="0"/>
    <s v="CONGO"/>
    <x v="0"/>
    <x v="0"/>
    <m/>
  </r>
  <r>
    <x v="34"/>
    <s v="Bonus opération du 15/01/2025 à Owando/Abraham"/>
    <s v="Bonus"/>
    <s v="Operation"/>
    <x v="44"/>
    <x v="49"/>
    <n v="596.19299999999998"/>
    <s v="Merveille"/>
    <s v="CA-F-D10"/>
    <s v="PALF"/>
    <x v="0"/>
    <s v="CONGO"/>
    <x v="0"/>
    <x v="0"/>
    <m/>
  </r>
  <r>
    <x v="34"/>
    <s v="Bonus opération du 15/01/2025 à Owando/Evariste"/>
    <s v="Bonus"/>
    <s v="Operation"/>
    <x v="44"/>
    <x v="49"/>
    <n v="596.19299999999998"/>
    <s v="Merveille"/>
    <s v="CA-F-D11"/>
    <s v="PALF"/>
    <x v="0"/>
    <s v="CONGO"/>
    <x v="0"/>
    <x v="0"/>
    <m/>
  </r>
  <r>
    <x v="34"/>
    <s v="G12 Congo frais d'hotel du 08 au 11/02/2025   à sibiti (3 nuitées)"/>
    <s v="Travel Subsistence"/>
    <s v="Investigation"/>
    <x v="22"/>
    <x v="123"/>
    <n v="596.19299999999998"/>
    <s v="G12"/>
    <s v="G12-F-R3"/>
    <s v="PALF"/>
    <x v="0"/>
    <s v="CONGO"/>
    <x v="0"/>
    <x v="0"/>
    <m/>
  </r>
  <r>
    <x v="34"/>
    <s v="Achat billet sibiti - loudima /G12"/>
    <s v="Transport"/>
    <s v="Investigation"/>
    <x v="101"/>
    <x v="118"/>
    <n v="596.19299999999998"/>
    <s v="G12"/>
    <s v="G12-F-R4"/>
    <s v="PALF"/>
    <x v="0"/>
    <s v="CONGO"/>
    <x v="0"/>
    <x v="0"/>
    <m/>
  </r>
  <r>
    <x v="34"/>
    <s v="Achat billet loudima -nkayi / G12"/>
    <s v="Transport"/>
    <s v="Investigation"/>
    <x v="67"/>
    <x v="124"/>
    <n v="613.82180000000005"/>
    <s v="G12"/>
    <s v="G12-F-R5"/>
    <s v="PALF"/>
    <x v="1"/>
    <s v="CONGO"/>
    <x v="0"/>
    <x v="0"/>
    <m/>
  </r>
  <r>
    <x v="34"/>
    <s v="Achat billet Brazzaville-Owando(Trans bony)/Abraham"/>
    <s v="Transport"/>
    <s v="Legal"/>
    <x v="12"/>
    <x v="125"/>
    <n v="613.82180000000005"/>
    <s v="Abraham"/>
    <s v="AB-F-R1"/>
    <s v="PALF"/>
    <x v="1"/>
    <s v="CONGO"/>
    <x v="0"/>
    <x v="0"/>
    <m/>
  </r>
  <r>
    <x v="34"/>
    <s v="Frais de mission maitre Marie Helène NANITELAMION du 12 au 14 Février 2025 à Owando suivi audience"/>
    <s v="Lawyer Fees"/>
    <s v="Legal"/>
    <x v="21"/>
    <x v="109"/>
    <n v="596.19299999999998"/>
    <s v="Abraham"/>
    <s v="CA-F-R13"/>
    <s v="PALF"/>
    <x v="0"/>
    <s v="CONGO"/>
    <x v="0"/>
    <x v="0"/>
    <m/>
  </r>
  <r>
    <x v="34"/>
    <s v="Solde honoraire contrat n°81 Owando cas Monick/ Maître BANZOUZI Alain/3654800"/>
    <s v="Lawyer Fees"/>
    <s v="Legal"/>
    <x v="58"/>
    <x v="64"/>
    <n v="596.19299999999998"/>
    <s v="BCI"/>
    <s v="BQ-F-R3"/>
    <s v="PALF"/>
    <x v="0"/>
    <s v="CONGO"/>
    <x v="0"/>
    <x v="0"/>
    <m/>
  </r>
  <r>
    <x v="34"/>
    <s v="Frais de transfert d'argent à P29"/>
    <s v="Transfert fees"/>
    <s v="Office"/>
    <x v="42"/>
    <x v="126"/>
    <n v="596.19299999999998"/>
    <s v="Roderlin"/>
    <s v="CA-F-R14"/>
    <s v="PALF"/>
    <x v="0"/>
    <s v="CONGO"/>
    <x v="0"/>
    <x v="0"/>
    <m/>
  </r>
  <r>
    <x v="35"/>
    <s v="IT87 - CONGO Frais d'hôtel Saint Benoît du 09 au 12/02/2025 à Oyo (03 nuitées)"/>
    <s v="Travel Subsistence"/>
    <s v="Investigation"/>
    <x v="22"/>
    <x v="123"/>
    <n v="596.19299999999998"/>
    <s v="IT87"/>
    <s v="IT87-F-R6"/>
    <s v="PALF"/>
    <x v="0"/>
    <s v="CONGO"/>
    <x v="0"/>
    <x v="0"/>
    <m/>
  </r>
  <r>
    <x v="35"/>
    <s v="Achat billet Oyo - Brazzaville/ IT87"/>
    <s v="Transport"/>
    <s v="Investigation"/>
    <x v="12"/>
    <x v="53"/>
    <n v="596.19299999999998"/>
    <s v="IT87"/>
    <s v="IT87-F-R6"/>
    <s v="PALF"/>
    <x v="0"/>
    <s v="CONGO"/>
    <x v="0"/>
    <x v="0"/>
    <m/>
  </r>
  <r>
    <x v="35"/>
    <s v="ABRAHAM - CONGO food allowance du 12/02 au 01/03/2025 à Owando (02 Nuitées)"/>
    <s v="Travel Subsistence"/>
    <s v="Legal"/>
    <x v="105"/>
    <x v="127"/>
    <n v="596.19299999999998"/>
    <s v="Abraham"/>
    <s v="AB-F-D1"/>
    <s v="PALF"/>
    <x v="0"/>
    <s v="CONGO"/>
    <x v="0"/>
    <x v="0"/>
    <m/>
  </r>
  <r>
    <x v="35"/>
    <s v="Achat billet Brazzaville- Loudima/Roderlin"/>
    <s v="Transport"/>
    <s v="Legal"/>
    <x v="37"/>
    <x v="72"/>
    <n v="596.19299999999998"/>
    <s v="Roderlin"/>
    <s v="RO-F-R4"/>
    <s v="PALF"/>
    <x v="0"/>
    <s v="CONGO"/>
    <x v="0"/>
    <x v="0"/>
    <m/>
  </r>
  <r>
    <x v="35"/>
    <s v="Frais de transfert d'argent à T73"/>
    <s v="Transfert fees"/>
    <s v="Office"/>
    <x v="106"/>
    <x v="128"/>
    <n v="596.19299999999998"/>
    <s v="Roderlin"/>
    <s v="CA-F-R15"/>
    <s v="PALF"/>
    <x v="0"/>
    <s v="CONGO"/>
    <x v="0"/>
    <x v="0"/>
    <m/>
  </r>
  <r>
    <x v="35"/>
    <s v="Frais de mission maitre Alain BANZOUZI du 13 au 15 Février 2025 à Sibiti/suivi audience"/>
    <s v="Lawyer Fees"/>
    <s v="Legal"/>
    <x v="17"/>
    <x v="57"/>
    <n v="596.19299999999998"/>
    <s v="Roderlin"/>
    <s v="CA-F-R16"/>
    <s v="PALF"/>
    <x v="0"/>
    <s v="CONGO"/>
    <x v="0"/>
    <x v="0"/>
    <m/>
  </r>
  <r>
    <x v="36"/>
    <s v="Paiment assurance DOVI/Assistance Evacuation"/>
    <s v="Personnel"/>
    <s v="Management"/>
    <x v="107"/>
    <x v="129"/>
    <n v="596.19299999999998"/>
    <s v="Merveille"/>
    <s v="CA-F-R17"/>
    <s v="PALF"/>
    <x v="0"/>
    <s v="CONGO"/>
    <x v="0"/>
    <x v="0"/>
    <m/>
  </r>
  <r>
    <x v="36"/>
    <s v="Paiment assurance DOVI/Individuelle Accidents Corporels"/>
    <s v="Personnel"/>
    <s v="Management"/>
    <x v="108"/>
    <x v="130"/>
    <n v="596.19299999999998"/>
    <s v="Merveille"/>
    <s v="CA-F-R18"/>
    <s v="PALF"/>
    <x v="0"/>
    <s v="CONGO"/>
    <x v="0"/>
    <x v="0"/>
    <m/>
  </r>
  <r>
    <x v="36"/>
    <s v="G12-CONGO  frais d'hotel du 11 au 13 /02 / 2025 à nkayi (2nuitées)"/>
    <s v="Travel Subsistence"/>
    <s v="Investigation"/>
    <x v="44"/>
    <x v="49"/>
    <n v="596.19299999999998"/>
    <s v="G12"/>
    <s v="G12-F-R6"/>
    <s v="PALF"/>
    <x v="0"/>
    <s v="CONGO"/>
    <x v="0"/>
    <x v="0"/>
    <m/>
  </r>
  <r>
    <x v="36"/>
    <s v="Achat billet nkayi - madingou/G12"/>
    <s v="Transport"/>
    <s v="Investigation"/>
    <x v="67"/>
    <x v="76"/>
    <n v="596.19299999999998"/>
    <s v="G12"/>
    <s v="G12-F-R7"/>
    <s v="PALF"/>
    <x v="0"/>
    <s v="CONGO"/>
    <x v="0"/>
    <x v="0"/>
    <m/>
  </r>
  <r>
    <x v="36"/>
    <s v="RODERLIN-CONGO Ration du 13 au 15/02/2025 à Sibiti (02 nuitées)"/>
    <s v="Travel Subsistence"/>
    <s v="Legal"/>
    <x v="0"/>
    <x v="131"/>
    <n v="613.82180000000005"/>
    <s v="Roderlin"/>
    <s v="RO-F-D2"/>
    <s v="PALF"/>
    <x v="1"/>
    <s v="CONGO"/>
    <x v="0"/>
    <x v="0"/>
    <m/>
  </r>
  <r>
    <x v="36"/>
    <s v="Bonus media portant sur la journée mondiale du Pangolin"/>
    <s v="Bonus to media office"/>
    <s v="Media"/>
    <x v="52"/>
    <x v="132"/>
    <n v="613.82180000000005"/>
    <s v="Evariste"/>
    <s v="CA-F-D12"/>
    <s v="PALF"/>
    <x v="1"/>
    <s v="CONGO"/>
    <x v="0"/>
    <x v="0"/>
    <m/>
  </r>
  <r>
    <x v="36"/>
    <s v="Reglement frais d'assurance multi risque/Bureau PALF"/>
    <s v="Services"/>
    <s v="Office"/>
    <x v="109"/>
    <x v="133"/>
    <n v="596.19299999999998"/>
    <s v="BCI"/>
    <s v="BQ-F-R4"/>
    <s v="PALF"/>
    <x v="0"/>
    <s v="CONGO"/>
    <x v="0"/>
    <x v="0"/>
    <m/>
  </r>
  <r>
    <x v="36"/>
    <s v="Achat billet Loudima - Sibiti/Roderlin"/>
    <s v="Transport"/>
    <s v="Legal"/>
    <x v="101"/>
    <x v="118"/>
    <n v="596.19299999999998"/>
    <s v="Roderlin"/>
    <s v="RO-F-R6"/>
    <s v="PALF"/>
    <x v="0"/>
    <s v="CONGO"/>
    <x v="0"/>
    <x v="0"/>
    <m/>
  </r>
  <r>
    <x v="37"/>
    <s v="Fonds envoyé à un informateur en RDC pour des informations"/>
    <s v="Trust Building"/>
    <s v="Investigation"/>
    <x v="44"/>
    <x v="49"/>
    <n v="596.19299999999998"/>
    <s v="DOVI"/>
    <s v="DH-F-R1"/>
    <s v="PALF"/>
    <x v="0"/>
    <s v="CONGO"/>
    <x v="0"/>
    <x v="0"/>
    <m/>
  </r>
  <r>
    <x v="37"/>
    <s v="Frais de transfert d'argent par western union à l'informateur"/>
    <s v="Transfert fees"/>
    <s v="Office"/>
    <x v="110"/>
    <x v="134"/>
    <n v="596.19299999999998"/>
    <s v="DOVI"/>
    <s v="DH-F-R2"/>
    <s v="PALF"/>
    <x v="0"/>
    <s v="CONGO"/>
    <x v="0"/>
    <x v="0"/>
    <m/>
  </r>
  <r>
    <x v="37"/>
    <s v="Achat billet Brazzaville-Owando/DOVI"/>
    <s v="Transport"/>
    <s v="Management"/>
    <x v="12"/>
    <x v="125"/>
    <n v="613.82180000000005"/>
    <s v="DOVI"/>
    <s v="DH-F-R3"/>
    <s v="PALF"/>
    <x v="1"/>
    <s v="CONGO"/>
    <x v="0"/>
    <x v="0"/>
    <m/>
  </r>
  <r>
    <x v="37"/>
    <s v="Billet: Brazzaville-Owando/Crepin"/>
    <s v="Transport"/>
    <s v="Legal"/>
    <x v="12"/>
    <x v="125"/>
    <n v="613.82180000000005"/>
    <s v="Crépin"/>
    <s v="CR-F-R1"/>
    <s v="PALF"/>
    <x v="1"/>
    <s v="CONGO"/>
    <x v="0"/>
    <x v="0"/>
    <m/>
  </r>
  <r>
    <x v="37"/>
    <s v="Achat credit  teléphonique MTN/PALF/Deuxième partie du mois de Février 2025/Management"/>
    <s v="Telephone"/>
    <s v="Management"/>
    <x v="44"/>
    <x v="135"/>
    <n v="613.82180000000005"/>
    <s v="Merveille"/>
    <s v="CA-F-R20"/>
    <s v="PALF"/>
    <x v="1"/>
    <s v="CONGO"/>
    <x v="0"/>
    <x v="0"/>
    <m/>
  </r>
  <r>
    <x v="37"/>
    <s v="Achat credit  teléphonique MTN/PALF/Deuxième partie du mois de Février 2025/Legal"/>
    <s v="Telephone"/>
    <s v="Legal"/>
    <x v="44"/>
    <x v="135"/>
    <n v="613.82180000000005"/>
    <s v="Merveille"/>
    <s v="CA-F-R21"/>
    <s v="PALF"/>
    <x v="1"/>
    <s v="CONGO"/>
    <x v="0"/>
    <x v="0"/>
    <m/>
  </r>
  <r>
    <x v="37"/>
    <s v="Achat credit  teléphonique MTN/PALF/Deuxième partie du mois de Février 2025/Investigation"/>
    <s v="Telephone"/>
    <s v="Investigation"/>
    <x v="111"/>
    <x v="136"/>
    <n v="579.25109999999995"/>
    <s v="Merveille"/>
    <s v="CA-F-R22"/>
    <s v="PALF"/>
    <x v="2"/>
    <s v="CONGO"/>
    <x v="0"/>
    <x v="0"/>
    <m/>
  </r>
  <r>
    <x v="37"/>
    <s v="Achat credit  teléphonique MTN/PALF/Deuxième partie du mois de Février 2025/Media"/>
    <s v="Telephone"/>
    <s v="Media"/>
    <x v="4"/>
    <x v="137"/>
    <n v="613.82180000000005"/>
    <s v="Merveille"/>
    <s v="CA-F-R23"/>
    <s v="PALF"/>
    <x v="1"/>
    <s v="CONGO"/>
    <x v="0"/>
    <x v="0"/>
    <m/>
  </r>
  <r>
    <x v="37"/>
    <s v="Achat credit  teléphonique Airtel/PALF/Deuxième partie du mois de Février 2025/Legal"/>
    <s v="Telephone"/>
    <s v="Legal"/>
    <x v="4"/>
    <x v="137"/>
    <n v="613.82180000000005"/>
    <s v="Merveille"/>
    <s v="CA-F-R24"/>
    <s v="PALF"/>
    <x v="1"/>
    <s v="CONGO"/>
    <x v="0"/>
    <x v="0"/>
    <m/>
  </r>
  <r>
    <x v="37"/>
    <s v="Achat credit  teléphonique Airtel/PALF/Deuxième partie du mois de Février 2025/Investigation"/>
    <s v="Telephone"/>
    <s v="Investigation"/>
    <x v="31"/>
    <x v="138"/>
    <n v="613.82180000000005"/>
    <s v="Merveille"/>
    <s v="CA-F-R25"/>
    <s v="PALF"/>
    <x v="1"/>
    <s v="CONGO"/>
    <x v="0"/>
    <x v="0"/>
    <m/>
  </r>
  <r>
    <x v="37"/>
    <s v="Frais de transfert d'argent à T73,P29 et Abraham"/>
    <s v="Transfert fees"/>
    <s v="Office"/>
    <x v="112"/>
    <x v="139"/>
    <n v="613.82180000000005"/>
    <s v="Parfaite"/>
    <s v="CA-F-R19"/>
    <s v="PALF"/>
    <x v="1"/>
    <s v="CONGO"/>
    <x v="0"/>
    <x v="0"/>
    <m/>
  </r>
  <r>
    <x v="37"/>
    <s v="Cumul frais de trust building du mois de Février 2025/G12"/>
    <s v="Trust Building"/>
    <s v="Investigation"/>
    <x v="101"/>
    <x v="140"/>
    <n v="613.82180000000005"/>
    <s v="G12"/>
    <s v="G12-F-D2"/>
    <s v="PALF"/>
    <x v="1"/>
    <s v="CONGO"/>
    <x v="0"/>
    <x v="0"/>
    <m/>
  </r>
  <r>
    <x v="37"/>
    <s v="Achat billet Madingou - brazzaville/G12"/>
    <s v="Transport"/>
    <s v="Investigation"/>
    <x v="12"/>
    <x v="125"/>
    <n v="613.82180000000005"/>
    <s v="G12"/>
    <s v="G12-F-R8"/>
    <s v="PALF"/>
    <x v="1"/>
    <s v="CONGO"/>
    <x v="0"/>
    <x v="0"/>
    <m/>
  </r>
  <r>
    <x v="37"/>
    <s v="Achat Billet Brazzaville-Owando/Romain"/>
    <s v="Transport"/>
    <s v="Legal"/>
    <x v="12"/>
    <x v="125"/>
    <n v="613.82180000000005"/>
    <s v="Romain"/>
    <s v="RM-F-R4"/>
    <s v="PALF"/>
    <x v="1"/>
    <s v="CONGO"/>
    <x v="0"/>
    <x v="0"/>
    <m/>
  </r>
  <r>
    <x v="37"/>
    <s v="Achat billet, Brazzaville-Owando/Evariste"/>
    <s v="Transport"/>
    <s v="Media"/>
    <x v="12"/>
    <x v="125"/>
    <n v="613.82180000000005"/>
    <s v="Evariste"/>
    <s v="EV-F-R1"/>
    <s v="PALF"/>
    <x v="1"/>
    <s v="CONGO"/>
    <x v="0"/>
    <x v="0"/>
    <m/>
  </r>
  <r>
    <x v="37"/>
    <s v="Cumul frais de jail visits du mois de Février 2025/Roderlin"/>
    <s v="Jail visits"/>
    <s v="Legal"/>
    <x v="0"/>
    <x v="131"/>
    <n v="613.82180000000005"/>
    <s v="Roderlin"/>
    <s v="RO-F-D3"/>
    <s v="PALF"/>
    <x v="1"/>
    <s v="CONGO"/>
    <x v="0"/>
    <x v="0"/>
    <m/>
  </r>
  <r>
    <x v="38"/>
    <s v="DOVI -CONGO Ration du 15 Février 2025 au 25 Février 2025 soit 10 nuitées"/>
    <s v="Travel Subsistence"/>
    <s v="Management"/>
    <x v="13"/>
    <x v="141"/>
    <n v="613.82180000000005"/>
    <s v="DOVI"/>
    <s v="DH-F-D1"/>
    <s v="PALF"/>
    <x v="1"/>
    <s v="CONGO"/>
    <x v="0"/>
    <x v="0"/>
    <m/>
  </r>
  <r>
    <x v="38"/>
    <s v="CREPIN - CONGO Ration du 15/02/ au 05/03/2025 à Owando (18 nuitées)"/>
    <s v="Travel Subsistence"/>
    <s v="Legal"/>
    <x v="113"/>
    <x v="142"/>
    <n v="613.82180000000005"/>
    <s v="Crépin"/>
    <s v="CR-F-D1"/>
    <s v="PALF"/>
    <x v="1"/>
    <s v="CONGO"/>
    <x v="0"/>
    <x v="0"/>
    <m/>
  </r>
  <r>
    <x v="38"/>
    <s v="IT87 - CONGO Ration du 15 au 22/02/2025 à Madingou, Mouyondzi et Loutété"/>
    <s v="Travel Subsistence"/>
    <s v="Investigation"/>
    <x v="21"/>
    <x v="143"/>
    <n v="613.82180000000005"/>
    <s v="IT87"/>
    <s v="IT87-F-D2"/>
    <s v="PALF"/>
    <x v="1"/>
    <s v="CONGO"/>
    <x v="0"/>
    <x v="0"/>
    <m/>
  </r>
  <r>
    <x v="38"/>
    <s v="Achat billet Brazzaville - Madingou/ IT87"/>
    <s v="Transport"/>
    <s v="Investigation"/>
    <x v="12"/>
    <x v="125"/>
    <n v="613.82180000000005"/>
    <s v="IT87"/>
    <s v="IT87-F-R7"/>
    <s v="PALF"/>
    <x v="1"/>
    <s v="CONGO"/>
    <x v="0"/>
    <x v="0"/>
    <m/>
  </r>
  <r>
    <x v="38"/>
    <s v="G12 CONGO frais d'hotel du 13 au 15 /02/2025(02 Nuitées)"/>
    <s v="Travel Subsistence"/>
    <s v="Investigation"/>
    <x v="44"/>
    <x v="135"/>
    <n v="613.82180000000005"/>
    <s v="G12"/>
    <s v="G12-F-R9"/>
    <s v="PALF"/>
    <x v="1"/>
    <s v="CONGO"/>
    <x v="0"/>
    <x v="0"/>
    <m/>
  </r>
  <r>
    <x v="38"/>
    <s v="ROMAIN - CONGO Ration du 15/02/ au 04/03/2025 à Owando(14 Nuitées)"/>
    <s v="Travel Subsistence"/>
    <s v="Legal"/>
    <x v="105"/>
    <x v="144"/>
    <n v="613.82180000000005"/>
    <s v="Romain"/>
    <s v="RM-F-D2"/>
    <s v="PALF"/>
    <x v="1"/>
    <s v="CONGO"/>
    <x v="0"/>
    <x v="0"/>
    <m/>
  </r>
  <r>
    <x v="38"/>
    <s v="ABRAHAM - CONGO frais d'Hôtel (Hôtel Case Mbali) du 12 au 15/02/2025 Owando (03Nuitées)"/>
    <s v="Travel Subsistence"/>
    <s v="Legal"/>
    <x v="22"/>
    <x v="145"/>
    <n v="613.82180000000005"/>
    <s v="Abraham"/>
    <s v="AB-F-R2"/>
    <s v="PALF"/>
    <x v="1"/>
    <s v="CONGO"/>
    <x v="0"/>
    <x v="0"/>
    <m/>
  </r>
  <r>
    <x v="38"/>
    <s v="RODERLIN-CONGO frais d'hôtel du 13 au 15/02/2025 à Sibiti (02 nuitées)"/>
    <s v="Travel Subsistence"/>
    <s v="Legal"/>
    <x v="44"/>
    <x v="135"/>
    <n v="613.82180000000005"/>
    <s v="Roderlin"/>
    <s v="RO-F-R5"/>
    <s v="PALF"/>
    <x v="1"/>
    <s v="CONGO"/>
    <x v="0"/>
    <x v="0"/>
    <m/>
  </r>
  <r>
    <x v="38"/>
    <s v="Taxi: Sibiti-Loudima /Roderlin"/>
    <s v="Transport"/>
    <s v="Legal"/>
    <x v="101"/>
    <x v="140"/>
    <n v="613.82180000000005"/>
    <s v="Roderlin"/>
    <s v="RO-F-R7"/>
    <s v="PALF"/>
    <x v="1"/>
    <s v="CONGO"/>
    <x v="0"/>
    <x v="0"/>
    <m/>
  </r>
  <r>
    <x v="38"/>
    <s v="EVARISTE - CONGO Ration du 15 au 28 février 2025, mission d'Owando (13 nuitées)"/>
    <s v="Travel Subsistence"/>
    <s v="Media"/>
    <x v="114"/>
    <x v="146"/>
    <n v="613.82180000000005"/>
    <s v="Evariste"/>
    <s v="EV-F-D1"/>
    <s v="PALF"/>
    <x v="1"/>
    <s v="CONGO"/>
    <x v="0"/>
    <x v="0"/>
    <m/>
  </r>
  <r>
    <x v="38"/>
    <s v="Achat billet Loudima-Brazzaville /Roderlin"/>
    <s v="Transport"/>
    <s v="Legal"/>
    <x v="12"/>
    <x v="125"/>
    <n v="613.82180000000005"/>
    <s v="Roderlin"/>
    <s v="RO-F-R8"/>
    <s v="PALF"/>
    <x v="1"/>
    <s v="CONGO"/>
    <x v="0"/>
    <x v="0"/>
    <m/>
  </r>
  <r>
    <x v="39"/>
    <s v="Achat credit téléphonique pour P29/Appel trust à l'international"/>
    <s v="Telephone"/>
    <s v="Investigation"/>
    <x v="64"/>
    <x v="147"/>
    <n v="613.82180000000005"/>
    <s v="Merveille"/>
    <s v="CA-F-R26"/>
    <s v="PALF"/>
    <x v="1"/>
    <s v="CONGO"/>
    <x v="0"/>
    <x v="0"/>
    <m/>
  </r>
  <r>
    <x v="40"/>
    <s v="Frais de transfert d'argent à Crepin"/>
    <s v="Transfert fees"/>
    <s v="Office"/>
    <x v="94"/>
    <x v="148"/>
    <n v="613.82180000000005"/>
    <s v="Parfaite"/>
    <s v="CA-F-R27"/>
    <s v="PALF"/>
    <x v="1"/>
    <s v="CONGO"/>
    <x v="0"/>
    <x v="0"/>
    <m/>
  </r>
  <r>
    <x v="40"/>
    <s v="IT87 - CONGO Frais d'hôtel Dzongo Bénoît du 15 au 18/02/2025 à Madingou (03 nuitées)"/>
    <s v="Travel Subsistence"/>
    <s v="Investigation"/>
    <x v="22"/>
    <x v="145"/>
    <n v="613.82180000000005"/>
    <s v="IT87"/>
    <s v="IT87-F-R8"/>
    <s v="PALF"/>
    <x v="1"/>
    <s v="CONGO"/>
    <x v="0"/>
    <x v="0"/>
    <m/>
  </r>
  <r>
    <x v="40"/>
    <s v="Achat billet Madingou - Mouyondzi/ IT87"/>
    <s v="Transport"/>
    <s v="Investigation"/>
    <x v="101"/>
    <x v="140"/>
    <n v="613.82180000000005"/>
    <s v="IT87"/>
    <s v="IT87-F-R9"/>
    <s v="PALF"/>
    <x v="1"/>
    <s v="CONGO"/>
    <x v="0"/>
    <x v="0"/>
    <m/>
  </r>
  <r>
    <x v="40"/>
    <s v="Frais de mission maitre BANZOUZI à Owando du 19 au 21/02/205 suivi audience cas MONICK"/>
    <s v="Lawyer Fees"/>
    <s v="Legal"/>
    <x v="21"/>
    <x v="143"/>
    <n v="613.82180000000005"/>
    <s v="Roderlin"/>
    <s v="CA-F-R28"/>
    <s v="PALF"/>
    <x v="1"/>
    <s v="CONGO"/>
    <x v="0"/>
    <x v="0"/>
    <m/>
  </r>
  <r>
    <x v="41"/>
    <s v="Fonds envoyé à un informateur  en RDC pour des informations"/>
    <s v="Trust Building"/>
    <s v="Investigation"/>
    <x v="44"/>
    <x v="135"/>
    <n v="613.82180000000005"/>
    <s v="Merveille"/>
    <s v="CA-F-R29"/>
    <s v="PALF"/>
    <x v="1"/>
    <s v="CONGO"/>
    <x v="0"/>
    <x v="0"/>
    <m/>
  </r>
  <r>
    <x v="41"/>
    <s v="Frais de transfert bonus à informateur"/>
    <s v="Transfert fees"/>
    <s v="Office"/>
    <x v="110"/>
    <x v="149"/>
    <n v="579.25109999999995"/>
    <s v="Merveille"/>
    <s v="CA-F-R30"/>
    <s v="PALF"/>
    <x v="2"/>
    <s v="CONGO"/>
    <x v="0"/>
    <x v="0"/>
    <m/>
  </r>
  <r>
    <x v="41"/>
    <s v="Frais de transfert d'argent à Abraham"/>
    <s v="Transfert fees"/>
    <s v="Office"/>
    <x v="115"/>
    <x v="150"/>
    <n v="613.82180000000005"/>
    <s v="Parfaite"/>
    <s v="CA-F-R31"/>
    <s v="PALF"/>
    <x v="1"/>
    <s v="CONGO"/>
    <x v="0"/>
    <x v="0"/>
    <m/>
  </r>
  <r>
    <x v="42"/>
    <s v="IT87 - CONGO Frais d'hôtel DZA MATSAKA du 18 au 20/02/2025 à Mouyondzi (02 nuitées)"/>
    <s v="Travel Subsistence"/>
    <s v="Investigation"/>
    <x v="44"/>
    <x v="135"/>
    <n v="613.82180000000005"/>
    <s v="IT87"/>
    <s v="IT87-F-R10"/>
    <s v="PALF"/>
    <x v="1"/>
    <s v="CONGO"/>
    <x v="0"/>
    <x v="0"/>
    <m/>
  </r>
  <r>
    <x v="42"/>
    <s v="Achat billet Mouyondzi - Loutété/ IT87"/>
    <s v="Transport"/>
    <s v="Investigation"/>
    <x v="101"/>
    <x v="140"/>
    <n v="613.82180000000005"/>
    <s v="IT87"/>
    <s v="IT87-F-R11"/>
    <s v="PALF"/>
    <x v="1"/>
    <s v="CONGO"/>
    <x v="0"/>
    <x v="0"/>
    <m/>
  </r>
  <r>
    <x v="42"/>
    <s v="ABRAHAM - CONGO frais d'Hôtel  du 15au 20/02/2025 Owando (05Nuitées)"/>
    <s v="Travel Subsistence"/>
    <s v="Legal"/>
    <x v="116"/>
    <x v="151"/>
    <n v="613.82180000000005"/>
    <s v="Abraham"/>
    <s v="AB-F-R5"/>
    <s v="PALF"/>
    <x v="1"/>
    <s v="CONGO"/>
    <x v="0"/>
    <x v="0"/>
    <m/>
  </r>
  <r>
    <x v="43"/>
    <s v="Frais de transfert d'argent à T73,P29 et Abraham"/>
    <s v="Transfert fees"/>
    <s v="Office"/>
    <x v="117"/>
    <x v="152"/>
    <n v="613.82180000000005"/>
    <s v="Roderlin"/>
    <s v="CA-F-R43"/>
    <s v="PALF"/>
    <x v="1"/>
    <s v="CONGO"/>
    <x v="0"/>
    <x v="0"/>
    <m/>
  </r>
  <r>
    <x v="44"/>
    <s v="CREPIN - CONGO Hébergement à l'hôtel Essebo d'Owando, 07 Nuitées du 15 au 22/02/2025"/>
    <s v="Travel Subsistence"/>
    <s v="Legal"/>
    <x v="46"/>
    <x v="153"/>
    <n v="613.82180000000005"/>
    <s v="Crépin"/>
    <s v="CR-F-R2"/>
    <s v="PALF"/>
    <x v="1"/>
    <s v="CONGO"/>
    <x v="0"/>
    <x v="0"/>
    <m/>
  </r>
  <r>
    <x v="44"/>
    <s v="T73 - CONGO Frais d'hotel du 10 au 22/02/2025 (12 nuitées ) à Owando"/>
    <s v="Travel Subsistence"/>
    <s v="Investigation"/>
    <x v="113"/>
    <x v="142"/>
    <n v="613.82180000000005"/>
    <s v="T73"/>
    <s v="T73-F-R5"/>
    <s v="PALF"/>
    <x v="1"/>
    <s v="CONGO"/>
    <x v="0"/>
    <x v="0"/>
    <m/>
  </r>
  <r>
    <x v="44"/>
    <s v="IT87 - CONGO Frais d'hôtel Clair Matin du 20 au 22/02/2025 à Loutété (02 nuitées)"/>
    <s v="Travel Subsistence"/>
    <s v="Investigation"/>
    <x v="44"/>
    <x v="135"/>
    <n v="613.82180000000005"/>
    <s v="IT87"/>
    <s v="IT87-F-R12"/>
    <s v="PALF"/>
    <x v="1"/>
    <s v="CONGO"/>
    <x v="0"/>
    <x v="0"/>
    <m/>
  </r>
  <r>
    <x v="44"/>
    <s v="Achat billet Loutété - Brazzaville/ IT87"/>
    <s v="Transport"/>
    <s v="Investigation"/>
    <x v="12"/>
    <x v="125"/>
    <n v="613.82180000000005"/>
    <s v="IT87"/>
    <s v="IT87-F-R13"/>
    <s v="PALF"/>
    <x v="1"/>
    <s v="CONGO"/>
    <x v="0"/>
    <x v="0"/>
    <m/>
  </r>
  <r>
    <x v="45"/>
    <s v="Cumul frais de trust building du mois de Février 2025/T73"/>
    <s v="Trust Building"/>
    <s v="Investigation"/>
    <x v="118"/>
    <x v="154"/>
    <n v="613.82180000000005"/>
    <s v="T73"/>
    <s v="T73-F-D2"/>
    <s v="PALF"/>
    <x v="1"/>
    <s v="CONGO"/>
    <x v="0"/>
    <x v="0"/>
    <m/>
  </r>
  <r>
    <x v="46"/>
    <s v="Plats et raffraichissements"/>
    <s v="Travel Subsistence"/>
    <s v="Operation"/>
    <x v="119"/>
    <x v="155"/>
    <n v="613.82180000000005"/>
    <s v="Crépin"/>
    <s v="CR-F-R3"/>
    <s v="PALF"/>
    <x v="1"/>
    <s v="CONGO"/>
    <x v="0"/>
    <x v="0"/>
    <m/>
  </r>
  <r>
    <x v="46"/>
    <s v="01 bidon d'eau de 10 litres pour les OPJ sous instruction du Coordinateur"/>
    <s v="Office Materiels"/>
    <s v="Operation"/>
    <x v="120"/>
    <x v="156"/>
    <n v="613.82180000000005"/>
    <s v="Crépin"/>
    <s v="CR-F-D2"/>
    <s v="PALF"/>
    <x v="1"/>
    <s v="CONGO"/>
    <x v="0"/>
    <x v="0"/>
    <m/>
  </r>
  <r>
    <x v="46"/>
    <s v="Achat credit téléphonique pour le coordinateur"/>
    <s v="Telephone"/>
    <s v="Management"/>
    <x v="31"/>
    <x v="138"/>
    <n v="613.82180000000005"/>
    <s v="Merveille"/>
    <s v="CA-F-R34"/>
    <s v="PALF"/>
    <x v="1"/>
    <s v="CONGO"/>
    <x v="0"/>
    <x v="0"/>
    <m/>
  </r>
  <r>
    <x v="46"/>
    <s v="P29 - CONGO Frais hotel du 10 au 24/02/2025 à owando/(14 Nuitées)"/>
    <s v="Travel Subsistence"/>
    <s v="Investigation"/>
    <x v="121"/>
    <x v="157"/>
    <n v="613.82180000000005"/>
    <s v="P29"/>
    <s v="P29-F-R8"/>
    <s v="PALF"/>
    <x v="1"/>
    <s v="CONGO"/>
    <x v="0"/>
    <x v="0"/>
    <m/>
  </r>
  <r>
    <x v="46"/>
    <s v="Location véhicule extraction owando-oyo/P29"/>
    <s v="Transport"/>
    <s v="Investigation"/>
    <x v="30"/>
    <x v="158"/>
    <n v="613.82180000000005"/>
    <s v="P29"/>
    <s v="P29-F-R9"/>
    <s v="PALF"/>
    <x v="1"/>
    <s v="CONGO"/>
    <x v="0"/>
    <x v="0"/>
    <m/>
  </r>
  <r>
    <x v="46"/>
    <s v="Locaation vehicule 1 pour extraction  du stade à la vouma/P29"/>
    <s v="Transport"/>
    <s v="Investigation"/>
    <x v="37"/>
    <x v="159"/>
    <n v="613.82180000000005"/>
    <s v="P29"/>
    <s v="P29-F-R10"/>
    <s v="PALF"/>
    <x v="1"/>
    <s v="CONGO"/>
    <x v="0"/>
    <x v="0"/>
    <m/>
  </r>
  <r>
    <x v="46"/>
    <s v="Locaation vehicule 2  pour extraction de la vouma station AOGC/P29"/>
    <s v="Transport"/>
    <s v="Investigation"/>
    <x v="37"/>
    <x v="159"/>
    <n v="613.82180000000005"/>
    <s v="P29"/>
    <s v="P29-F-R11"/>
    <s v="PALF"/>
    <x v="1"/>
    <s v="CONGO"/>
    <x v="0"/>
    <x v="0"/>
    <m/>
  </r>
  <r>
    <x v="46"/>
    <s v="Rafraichissement en attente opération "/>
    <s v="Travel Subsistence"/>
    <s v="Operation"/>
    <x v="122"/>
    <x v="160"/>
    <n v="613.82180000000005"/>
    <s v="Romain"/>
    <s v="RM-F-R5"/>
    <s v="PALF"/>
    <x v="1"/>
    <s v="CONGO"/>
    <x v="0"/>
    <x v="0"/>
    <m/>
  </r>
  <r>
    <x v="46"/>
    <s v="Carburant BJ Opération"/>
    <s v="Transport"/>
    <s v="Operation"/>
    <x v="7"/>
    <x v="161"/>
    <n v="613.82180000000005"/>
    <s v="Romain"/>
    <s v="RM-F-R6"/>
    <s v="PALF"/>
    <x v="1"/>
    <s v="CONGO"/>
    <x v="0"/>
    <x v="0"/>
    <m/>
  </r>
  <r>
    <x v="46"/>
    <s v="Rafraîchissement attente OP"/>
    <s v="Travel Subsistence"/>
    <s v="Legal"/>
    <x v="123"/>
    <x v="162"/>
    <n v="613.82180000000005"/>
    <s v="Abraham"/>
    <s v="AB-F-R3"/>
    <s v="PALF"/>
    <x v="1"/>
    <s v="CONGO"/>
    <x v="0"/>
    <x v="0"/>
    <m/>
  </r>
  <r>
    <x v="46"/>
    <s v="Frais de transfert charden farell à Abraham (pour le compte de DOVI et Crépin)"/>
    <s v="Transfert fees"/>
    <s v="Office"/>
    <x v="26"/>
    <x v="163"/>
    <n v="613.82180000000005"/>
    <s v="Roderlin"/>
    <s v="CA-F-R33"/>
    <s v="PALF"/>
    <x v="1"/>
    <s v="CONGO"/>
    <x v="0"/>
    <x v="0"/>
    <m/>
  </r>
  <r>
    <x v="46"/>
    <s v="Rafraichissement de mon équipe lors de l'opération"/>
    <s v="Travel Subsistence"/>
    <s v="Operation"/>
    <x v="124"/>
    <x v="164"/>
    <n v="613.82180000000005"/>
    <s v="Evariste"/>
    <s v="EV-F-D2"/>
    <s v="PALF"/>
    <x v="1"/>
    <s v="CONGO"/>
    <x v="0"/>
    <x v="0"/>
    <m/>
  </r>
  <r>
    <x v="47"/>
    <s v="Achat billet Owando -Brazzaville/DOVI"/>
    <s v="Transport"/>
    <s v="Management"/>
    <x v="12"/>
    <x v="125"/>
    <n v="613.82180000000005"/>
    <s v="DOVI"/>
    <s v="DH-F-R4"/>
    <s v="PALF"/>
    <x v="1"/>
    <s v="CONGO"/>
    <x v="0"/>
    <x v="0"/>
    <m/>
  </r>
  <r>
    <x v="47"/>
    <s v="DOVI-CONGO Frais d'hôtel du 15 Février 2025 au 25 Février 2025 soit 10 nuitées à Owando(Hôtel Savouret)"/>
    <s v="Travel Subsistence"/>
    <s v="Management"/>
    <x v="11"/>
    <x v="165"/>
    <n v="613.82180000000005"/>
    <s v="DOVI"/>
    <s v="DH-F-R5"/>
    <s v="PALF"/>
    <x v="1"/>
    <s v="CONGO"/>
    <x v="0"/>
    <x v="0"/>
    <m/>
  </r>
  <r>
    <x v="47"/>
    <s v="Bonus pour 18 Gendarmes ayant participé à l'opération du 24/02/2025  à Owando"/>
    <s v="Bonus"/>
    <s v="Operation"/>
    <x v="113"/>
    <x v="142"/>
    <n v="613.82180000000005"/>
    <s v="Crépin"/>
    <s v="CR-F-R4"/>
    <s v="PALF"/>
    <x v="1"/>
    <s v="CONGO"/>
    <x v="0"/>
    <x v="0"/>
    <m/>
  </r>
  <r>
    <x v="47"/>
    <s v="Bonus pour 02 EF ayant participé à l'opération du 24/02/2025  à Owando"/>
    <s v="Bonus"/>
    <s v="Operation"/>
    <x v="0"/>
    <x v="131"/>
    <n v="613.82180000000005"/>
    <s v="Crépin"/>
    <s v="CR-F-R5"/>
    <s v="PALF"/>
    <x v="1"/>
    <s v="CONGO"/>
    <x v="0"/>
    <x v="0"/>
    <m/>
  </r>
  <r>
    <x v="47"/>
    <s v="P29 - CONGO Frais de Location d'appartement pour op à owando du 22 au 25/02/2025  (occupé par crepin)/03 Nuitées"/>
    <s v="Travel Subsistence"/>
    <s v="Operation"/>
    <x v="46"/>
    <x v="166"/>
    <n v="579.25109999999995"/>
    <s v="P29"/>
    <s v="P29-F-R12"/>
    <s v="PALF"/>
    <x v="2"/>
    <s v="CONGO"/>
    <x v="0"/>
    <x v="0"/>
    <m/>
  </r>
  <r>
    <x v="47"/>
    <s v="P29 - CONGO Frais de location d'appartement pour op à Owando du 22 au 25/02/2025  (occupé par T73)/03 Nuitées"/>
    <s v="Travel Subsistence"/>
    <s v="Operation"/>
    <x v="46"/>
    <x v="166"/>
    <n v="579.25109999999995"/>
    <s v="P29"/>
    <s v="P29-F-R13"/>
    <s v="PALF"/>
    <x v="2"/>
    <s v="CONGO"/>
    <x v="0"/>
    <x v="0"/>
    <m/>
  </r>
  <r>
    <x v="47"/>
    <s v="Achat billet Brazzaville - Loutété/ IT87"/>
    <s v="Transport"/>
    <s v="Investigation"/>
    <x v="12"/>
    <x v="125"/>
    <n v="613.82180000000005"/>
    <s v="IT87"/>
    <s v="IT87-F-R14"/>
    <s v="PALF"/>
    <x v="1"/>
    <s v="CONGO"/>
    <x v="0"/>
    <x v="0"/>
    <m/>
  </r>
  <r>
    <x v="47"/>
    <s v="ROMAIN - CONGO - Frais d'hôtel du 15 au 25/02/2025 à Owando(10 Nuitées)"/>
    <s v="Travel Subsistence"/>
    <s v="Legal"/>
    <x v="11"/>
    <x v="165"/>
    <n v="613.82180000000005"/>
    <s v="Romain"/>
    <s v="RM-F-R8"/>
    <s v="PALF"/>
    <x v="1"/>
    <s v="CONGO"/>
    <x v="0"/>
    <x v="0"/>
    <m/>
  </r>
  <r>
    <x v="47"/>
    <s v="EVARISTE - CONGO Frais de l'hôtel du 15 au 25 février 2025 à Owando (10 nuitées)"/>
    <s v="Travel Subsistence"/>
    <s v="Media"/>
    <x v="11"/>
    <x v="165"/>
    <n v="613.82180000000005"/>
    <s v="Evariste"/>
    <s v="EV-F-R2"/>
    <s v="PALF"/>
    <x v="1"/>
    <s v="CONGO"/>
    <x v="0"/>
    <x v="0"/>
    <m/>
  </r>
  <r>
    <x v="48"/>
    <s v="Frais de mission à Owando de maitre Alain du 27/02 au 04/03/2025"/>
    <s v="Lawyer Fees"/>
    <s v="Legal"/>
    <x v="83"/>
    <x v="167"/>
    <n v="613.82180000000005"/>
    <s v="Merveille"/>
    <s v="CA-F-R35"/>
    <s v="PALF"/>
    <x v="1"/>
    <s v="CONGO"/>
    <x v="0"/>
    <x v="0"/>
    <m/>
  </r>
  <r>
    <x v="48"/>
    <s v="Frais de transfert d'argent à Abraham"/>
    <s v="Transfert fees"/>
    <s v="Office"/>
    <x v="125"/>
    <x v="168"/>
    <n v="613.82180000000005"/>
    <s v="Parfaite"/>
    <s v="CA-F-R44"/>
    <s v="PALF"/>
    <x v="1"/>
    <s v="CONGO"/>
    <x v="0"/>
    <x v="0"/>
    <m/>
  </r>
  <r>
    <x v="48"/>
    <s v="IT87 - CONGO Ration  du 26 au 28/02/2025 à Loutété"/>
    <s v="Travel Subsistence"/>
    <s v="Investigation"/>
    <x v="0"/>
    <x v="131"/>
    <n v="613.82180000000005"/>
    <s v="IT87"/>
    <s v="IT87-F-D3"/>
    <s v="PALF"/>
    <x v="1"/>
    <s v="CONGO"/>
    <x v="0"/>
    <x v="0"/>
    <m/>
  </r>
  <r>
    <x v="48"/>
    <s v="Cumul frais de transport local du mois Février 2025/G12"/>
    <s v="Transport"/>
    <s v="Investigation"/>
    <x v="126"/>
    <x v="169"/>
    <n v="613.82180000000005"/>
    <s v="G12"/>
    <s v="G12-F-D3"/>
    <s v="PALF"/>
    <x v="1"/>
    <s v="CONGO"/>
    <x v="0"/>
    <x v="0"/>
    <m/>
  </r>
  <r>
    <x v="48"/>
    <s v="Achat médicaments du prévenu Dodo"/>
    <s v="Jail visits"/>
    <s v="Legal"/>
    <x v="101"/>
    <x v="170"/>
    <n v="579.25109999999995"/>
    <s v="Abraham"/>
    <s v="AB-F-R4"/>
    <s v="PALF"/>
    <x v="2"/>
    <s v="CONGO"/>
    <x v="0"/>
    <x v="0"/>
    <m/>
  </r>
  <r>
    <x v="49"/>
    <s v="Reglement prestation de nettoyage jardin PALF du mois de Février 2025"/>
    <s v="Services"/>
    <s v="Office"/>
    <x v="0"/>
    <x v="171"/>
    <n v="579.25109999999995"/>
    <s v="Merveille"/>
    <s v="CA-F-R36"/>
    <s v="PALF"/>
    <x v="2"/>
    <s v="CONGO"/>
    <x v="0"/>
    <x v="0"/>
    <m/>
  </r>
  <r>
    <x v="49"/>
    <s v="Cumul frais de Trust building du mois de Février 2025/IT87"/>
    <s v="Trust Building"/>
    <s v="Investigation"/>
    <x v="127"/>
    <x v="172"/>
    <n v="579.25109999999995"/>
    <s v="IT87"/>
    <s v="IT87-F-D4"/>
    <s v="PALF"/>
    <x v="2"/>
    <s v="CONGO"/>
    <x v="0"/>
    <x v="0"/>
    <m/>
  </r>
  <r>
    <x v="49"/>
    <s v="Cumul frais de transport local du mois de Février 2025/Roderlin"/>
    <s v="Transport"/>
    <s v="Legal"/>
    <x v="128"/>
    <x v="173"/>
    <n v="579.25109999999995"/>
    <s v="Roderlin"/>
    <s v="RO-F-D4"/>
    <s v="PALF"/>
    <x v="2"/>
    <s v="CONGO"/>
    <x v="0"/>
    <x v="0"/>
    <m/>
  </r>
  <r>
    <x v="49"/>
    <s v="Frais de transfert d'argent à IT87"/>
    <s v="Transfert fees"/>
    <s v="Office"/>
    <x v="129"/>
    <x v="174"/>
    <n v="596.19299999999998"/>
    <s v="Roderlin"/>
    <s v="CA-F-R37"/>
    <s v="PALF"/>
    <x v="0"/>
    <s v="CONGO"/>
    <x v="0"/>
    <x v="0"/>
    <m/>
  </r>
  <r>
    <x v="50"/>
    <s v="Cumul frais de transport local du mois de Février 2025/DOVI"/>
    <s v="Transport"/>
    <s v="Management"/>
    <x v="102"/>
    <x v="175"/>
    <n v="579.25109999999995"/>
    <s v="DOVI"/>
    <s v="DH-F-D2"/>
    <s v="PALF"/>
    <x v="2"/>
    <s v="CONGO"/>
    <x v="0"/>
    <x v="0"/>
    <m/>
  </r>
  <r>
    <x v="50"/>
    <s v="Cumul frais de transport local du mois de Février 2025/Crepin IBOUILI IBOUILI"/>
    <s v="Transport"/>
    <s v="Legal"/>
    <x v="130"/>
    <x v="176"/>
    <n v="579.25109999999995"/>
    <s v="Crépin"/>
    <s v="CR-F-D3"/>
    <s v="PALF"/>
    <x v="2"/>
    <s v="CONGO"/>
    <x v="0"/>
    <x v="0"/>
    <m/>
  </r>
  <r>
    <x v="50"/>
    <s v="Cumul frais de transport local du mois de Février 2025/Merveille"/>
    <s v="Transport"/>
    <s v="Office"/>
    <x v="131"/>
    <x v="177"/>
    <n v="579.25109999999995"/>
    <s v="Merveille"/>
    <s v="ME-F-D1"/>
    <s v="PALF"/>
    <x v="2"/>
    <s v="CONGO"/>
    <x v="0"/>
    <x v="0"/>
    <m/>
  </r>
  <r>
    <x v="50"/>
    <s v="Ramassage ordure du mois Février 2025/Bureau PALF"/>
    <s v="Services"/>
    <s v="Office"/>
    <x v="63"/>
    <x v="178"/>
    <n v="579.25109999999995"/>
    <s v="Merveille"/>
    <s v="CA-F-R38"/>
    <s v="PALF"/>
    <x v="2"/>
    <s v="CONGO"/>
    <x v="0"/>
    <x v="0"/>
    <m/>
  </r>
  <r>
    <x v="50"/>
    <s v="Reglement facture internet periode du 01/03 au 31/03/2025 bureau PALF"/>
    <s v="Internet"/>
    <s v="Office"/>
    <x v="87"/>
    <x v="179"/>
    <n v="579.25109999999995"/>
    <s v="Merveille"/>
    <s v="CA-F-R39"/>
    <s v="PALF"/>
    <x v="2"/>
    <s v="CONGO"/>
    <x v="0"/>
    <x v="0"/>
    <m/>
  </r>
  <r>
    <x v="50"/>
    <s v="Achat fourniture de bureau/Classeurs,stylo,intercalaire,rame papier,surligneur,chemise cartonnée"/>
    <s v="Office Materiels"/>
    <s v="Office"/>
    <x v="132"/>
    <x v="180"/>
    <n v="579.25109999999995"/>
    <s v="Merveille"/>
    <s v="CA-F-R41"/>
    <s v="PALF"/>
    <x v="2"/>
    <s v="CONGO"/>
    <x v="0"/>
    <x v="0"/>
    <m/>
  </r>
  <r>
    <x v="50"/>
    <s v="Frais de carte de travail Parfaite"/>
    <s v="Personnel"/>
    <s v="Office"/>
    <x v="119"/>
    <x v="181"/>
    <n v="579.25109999999995"/>
    <s v="Merveille"/>
    <s v="CA-F-R42"/>
    <s v="PALF"/>
    <x v="2"/>
    <s v="CONGO"/>
    <x v="0"/>
    <x v="0"/>
    <m/>
  </r>
  <r>
    <x v="50"/>
    <s v="Cumul frais de transport local du mois de Février 2025/Parfaite"/>
    <s v="Transport"/>
    <s v="Office"/>
    <x v="12"/>
    <x v="53"/>
    <n v="596.19299999999998"/>
    <s v="Parfaite"/>
    <s v="P-F-D1"/>
    <s v="PALF"/>
    <x v="0"/>
    <s v="CONGO"/>
    <x v="0"/>
    <x v="0"/>
    <m/>
  </r>
  <r>
    <x v="50"/>
    <s v="Frais de transfert d'argent à Romain"/>
    <s v="Transfert fees"/>
    <s v="Office"/>
    <x v="133"/>
    <x v="182"/>
    <n v="579.25109999999995"/>
    <s v="Parfaite"/>
    <s v="CA-F-R45"/>
    <s v="PALF"/>
    <x v="2"/>
    <s v="CONGO"/>
    <x v="0"/>
    <x v="0"/>
    <m/>
  </r>
  <r>
    <x v="50"/>
    <s v="Règlement prestation technicienne de surface (mois de Février 2025)"/>
    <s v="Services"/>
    <s v="Office"/>
    <x v="73"/>
    <x v="183"/>
    <n v="579.25109999999995"/>
    <s v="Parfaite"/>
    <s v="CA-F-R40"/>
    <s v="PALF"/>
    <x v="2"/>
    <s v="CONGO"/>
    <x v="0"/>
    <x v="0"/>
    <m/>
  </r>
  <r>
    <x v="50"/>
    <s v="Achat billet billet oyo-brazzaville/P29"/>
    <s v="Transport"/>
    <s v="Investigation"/>
    <x v="63"/>
    <x v="178"/>
    <n v="579.25109999999995"/>
    <s v="P29"/>
    <s v="P29-F-R14"/>
    <s v="PALF"/>
    <x v="2"/>
    <s v="CONGO"/>
    <x v="0"/>
    <x v="0"/>
    <m/>
  </r>
  <r>
    <x v="50"/>
    <s v="P29 - CONGO Frais d'hotel du 24 au 28/02/2025  à Oyo(04 Nuitées)"/>
    <s v="Travel Subsistence"/>
    <s v="Investigation"/>
    <x v="23"/>
    <x v="184"/>
    <n v="579.25109999999995"/>
    <s v="P29"/>
    <s v="P29-F-R15"/>
    <s v="PALF"/>
    <x v="2"/>
    <s v="CONGO"/>
    <x v="0"/>
    <x v="0"/>
    <m/>
  </r>
  <r>
    <x v="50"/>
    <s v="Cumul frais de transport local du mois de Février 2025/P29"/>
    <s v="Transport"/>
    <s v="Investigation"/>
    <x v="134"/>
    <x v="185"/>
    <n v="579.25109999999995"/>
    <s v="P29"/>
    <s v="P29-F-D3"/>
    <s v="PALF"/>
    <x v="2"/>
    <s v="CONGO"/>
    <x v="0"/>
    <x v="0"/>
    <m/>
  </r>
  <r>
    <x v="50"/>
    <s v="T73 - CONGO Frais d'hotel du 24 au 28/02/2025 (04 nuitées ) à Oyo"/>
    <s v="Travel Subsistence"/>
    <s v="Investigation"/>
    <x v="23"/>
    <x v="184"/>
    <n v="579.25109999999995"/>
    <s v="T73"/>
    <s v="T73-F-R6"/>
    <s v="PALF"/>
    <x v="2"/>
    <s v="CONGO"/>
    <x v="0"/>
    <x v="0"/>
    <m/>
  </r>
  <r>
    <x v="50"/>
    <s v="Achat billet : Oyo - Brazzaville /T73"/>
    <s v="Transport"/>
    <s v="Investigation"/>
    <x v="63"/>
    <x v="178"/>
    <n v="579.25109999999995"/>
    <s v="T73"/>
    <s v="T73-F-R7"/>
    <s v="PALF"/>
    <x v="2"/>
    <s v="CONGO"/>
    <x v="0"/>
    <x v="0"/>
    <m/>
  </r>
  <r>
    <x v="50"/>
    <s v="Cumul frais de transport local du mois de Février 2025/T73"/>
    <s v="Transport"/>
    <s v="Investigation"/>
    <x v="135"/>
    <x v="186"/>
    <n v="579.25109999999995"/>
    <s v="T73"/>
    <s v="T73-F-D3"/>
    <s v="PALF"/>
    <x v="2"/>
    <s v="CONGO"/>
    <x v="0"/>
    <x v="0"/>
    <m/>
  </r>
  <r>
    <x v="50"/>
    <s v="IT87 - CONGO Frais d'hôtel Clair Matin du 26 au 28/02/2025 à Loutété (02 nuitées)"/>
    <s v="Travel Subsistence"/>
    <s v="Investigation"/>
    <x v="44"/>
    <x v="187"/>
    <n v="579.25109999999995"/>
    <s v="IT87"/>
    <s v="IT87-F-R15"/>
    <s v="PALF"/>
    <x v="2"/>
    <s v="CONGO"/>
    <x v="0"/>
    <x v="0"/>
    <m/>
  </r>
  <r>
    <x v="50"/>
    <s v="Achat billet Loutété - Brazzaville/ IT87"/>
    <s v="Transport"/>
    <s v="Investigation"/>
    <x v="12"/>
    <x v="188"/>
    <n v="579.25109999999995"/>
    <s v="IT87"/>
    <s v="IT87-F-R16"/>
    <s v="PALF"/>
    <x v="2"/>
    <s v="CONGO"/>
    <x v="0"/>
    <x v="0"/>
    <m/>
  </r>
  <r>
    <x v="50"/>
    <s v="Cumul frais de Transport local du mois de Février 2025/IT87"/>
    <s v="Transport"/>
    <s v="Investigation"/>
    <x v="136"/>
    <x v="189"/>
    <n v="579.25109999999995"/>
    <s v="IT87"/>
    <s v="IT87-F-D5"/>
    <s v="PALF"/>
    <x v="2"/>
    <s v="CONGO"/>
    <x v="0"/>
    <x v="0"/>
    <m/>
  </r>
  <r>
    <x v="50"/>
    <s v="Impréssion de la procédure de la Gendarmerie"/>
    <s v="Office Materiels"/>
    <s v="Legal"/>
    <x v="50"/>
    <x v="190"/>
    <n v="579.25109999999995"/>
    <s v="Romain"/>
    <s v="RM-F-R7"/>
    <s v="PALF"/>
    <x v="2"/>
    <s v="CONGO"/>
    <x v="0"/>
    <x v="0"/>
    <m/>
  </r>
  <r>
    <x v="50"/>
    <s v="Cumul frais de transport local du mois de Février 2025/Romain"/>
    <s v="Transport"/>
    <s v="Legal"/>
    <x v="131"/>
    <x v="177"/>
    <n v="579.25109999999995"/>
    <s v="Romain"/>
    <s v="RM-F-D3"/>
    <s v="PALF"/>
    <x v="2"/>
    <s v="CONGO"/>
    <x v="0"/>
    <x v="0"/>
    <m/>
  </r>
  <r>
    <x v="50"/>
    <s v="Cumul frais de jail visits du mois de Février 2025/Abraham"/>
    <s v="Jail visits"/>
    <s v="Legal"/>
    <x v="122"/>
    <x v="191"/>
    <n v="579.25109999999995"/>
    <s v="Abraham"/>
    <s v="AB-F-D2"/>
    <s v="PALF"/>
    <x v="2"/>
    <s v="CONGO"/>
    <x v="0"/>
    <x v="0"/>
    <m/>
  </r>
  <r>
    <x v="50"/>
    <s v="Cumul frais de transport local du mois de Février 2025/Abraham"/>
    <s v="Transport"/>
    <s v="Legal"/>
    <x v="22"/>
    <x v="192"/>
    <n v="579.25109999999995"/>
    <s v="Abraham"/>
    <s v="AB-F-D3"/>
    <s v="PALF"/>
    <x v="2"/>
    <s v="CONGO"/>
    <x v="0"/>
    <x v="0"/>
    <m/>
  </r>
  <r>
    <x v="50"/>
    <s v="EVARISTE - CONGO Frais de l'hôtel du 25 au 28 février 2025 (3 nuitées) "/>
    <s v="Travel Subsistence"/>
    <s v="Media"/>
    <x v="22"/>
    <x v="192"/>
    <n v="579.25109999999995"/>
    <s v="Evariste"/>
    <s v="EV-F-R3"/>
    <s v="PALF"/>
    <x v="2"/>
    <s v="CONGO"/>
    <x v="0"/>
    <x v="0"/>
    <m/>
  </r>
  <r>
    <x v="50"/>
    <s v="Achat billet Owando-Brazzaville/Evariste"/>
    <s v="Transport"/>
    <s v="Media"/>
    <x v="12"/>
    <x v="188"/>
    <n v="579.25109999999995"/>
    <s v="Evariste"/>
    <s v="EV-F-R4"/>
    <s v="PALF"/>
    <x v="2"/>
    <s v="CONGO"/>
    <x v="0"/>
    <x v="0"/>
    <m/>
  </r>
  <r>
    <x v="50"/>
    <s v="Cumul frais de transport local du mois de Février 2025/Evariste"/>
    <s v="Transport"/>
    <s v="Media"/>
    <x v="81"/>
    <x v="193"/>
    <n v="579.25109999999995"/>
    <s v="Evariste"/>
    <s v="EV-F-D3"/>
    <s v="PALF"/>
    <x v="2"/>
    <s v="CONGO"/>
    <x v="0"/>
    <x v="0"/>
    <m/>
  </r>
  <r>
    <x v="50"/>
    <s v="Bonus media portant sur l'interpellation de deux présumé trafiquants le 24/02/2025 à Owando"/>
    <s v="Bonus to media office"/>
    <s v="Media"/>
    <x v="58"/>
    <x v="194"/>
    <n v="579.25109999999995"/>
    <s v="Evariste"/>
    <s v="CA-F-D13"/>
    <s v="PALF"/>
    <x v="2"/>
    <s v="CONGO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leau croisé dynamique2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B2:C16" firstHeaderRow="1" firstDataRow="1" firstDataCol="1"/>
  <pivotFields count="15">
    <pivotField numFmtId="173" showAll="0"/>
    <pivotField showAll="0"/>
    <pivotField showAll="0"/>
    <pivotField showAll="0"/>
    <pivotField dataField="1" showAll="0"/>
    <pivotField numFmtId="1" showAll="0"/>
    <pivotField showAll="0"/>
    <pivotField axis="axisRow" showAll="0">
      <items count="14">
        <item x="9"/>
        <item x="4"/>
        <item x="11"/>
        <item x="10"/>
        <item x="8"/>
        <item x="7"/>
        <item x="5"/>
        <item x="0"/>
        <item x="1"/>
        <item x="12"/>
        <item x="3"/>
        <item x="2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omme de Spent  in XAF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B3:Q11" firstHeaderRow="1" firstDataRow="2" firstDataCol="1"/>
  <pivotFields count="15">
    <pivotField numFmtId="173" showAll="0"/>
    <pivotField showAll="0"/>
    <pivotField axis="axisCol" showAll="0">
      <items count="15">
        <item x="11"/>
        <item x="7"/>
        <item x="13"/>
        <item x="12"/>
        <item x="2"/>
        <item x="4"/>
        <item x="10"/>
        <item x="6"/>
        <item x="3"/>
        <item x="0"/>
        <item x="8"/>
        <item x="1"/>
        <item x="5"/>
        <item x="9"/>
        <item t="default"/>
      </items>
    </pivotField>
    <pivotField axis="axisRow" showAll="0">
      <items count="7">
        <item x="2"/>
        <item x="1"/>
        <item x="0"/>
        <item x="3"/>
        <item x="4"/>
        <item x="5"/>
        <item t="default"/>
      </items>
    </pivotField>
    <pivotField dataField="1"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2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colItems>
  <dataFields count="1">
    <dataField name="Somme de Spent  in XAF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B2:D17" firstHeaderRow="0" firstDataRow="1" firstDataCol="1"/>
  <pivotFields count="10">
    <pivotField numFmtId="14" showAll="0"/>
    <pivotField showAll="0"/>
    <pivotField showAll="0"/>
    <pivotField showAll="0"/>
    <pivotField dataField="1" showAll="0">
      <items count="66">
        <item x="57"/>
        <item x="46"/>
        <item x="26"/>
        <item x="19"/>
        <item x="17"/>
        <item x="39"/>
        <item x="58"/>
        <item x="21"/>
        <item x="60"/>
        <item x="51"/>
        <item x="44"/>
        <item x="4"/>
        <item x="64"/>
        <item x="55"/>
        <item x="6"/>
        <item x="37"/>
        <item x="48"/>
        <item x="47"/>
        <item x="49"/>
        <item x="42"/>
        <item x="5"/>
        <item x="32"/>
        <item x="11"/>
        <item x="56"/>
        <item x="23"/>
        <item x="33"/>
        <item x="24"/>
        <item x="9"/>
        <item x="1"/>
        <item x="61"/>
        <item x="53"/>
        <item x="38"/>
        <item x="12"/>
        <item x="8"/>
        <item x="2"/>
        <item x="45"/>
        <item x="62"/>
        <item x="28"/>
        <item x="31"/>
        <item x="59"/>
        <item x="7"/>
        <item x="3"/>
        <item x="22"/>
        <item x="27"/>
        <item x="25"/>
        <item x="10"/>
        <item x="54"/>
        <item x="30"/>
        <item x="34"/>
        <item x="35"/>
        <item x="18"/>
        <item x="16"/>
        <item x="15"/>
        <item x="52"/>
        <item x="29"/>
        <item x="36"/>
        <item x="63"/>
        <item x="14"/>
        <item x="13"/>
        <item x="40"/>
        <item x="50"/>
        <item x="20"/>
        <item x="41"/>
        <item x="43"/>
        <item x="0"/>
        <item t="default"/>
      </items>
    </pivotField>
    <pivotField dataField="1" showAll="0">
      <items count="6">
        <item x="2"/>
        <item x="4"/>
        <item x="3"/>
        <item x="1"/>
        <item x="0"/>
        <item t="default"/>
      </items>
    </pivotField>
    <pivotField numFmtId="168" showAll="0"/>
    <pivotField axis="axisRow" showAll="0">
      <items count="15">
        <item x="9"/>
        <item x="6"/>
        <item x="13"/>
        <item x="12"/>
        <item x="8"/>
        <item x="10"/>
        <item x="5"/>
        <item x="1"/>
        <item x="4"/>
        <item x="11"/>
        <item x="2"/>
        <item x="3"/>
        <item x="7"/>
        <item x="0"/>
        <item t="default"/>
      </items>
    </pivotField>
    <pivotField showAll="0"/>
    <pivotField showAll="0"/>
  </pivotFields>
  <rowFields count="1">
    <field x="7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Spent " fld="4" baseField="7" baseItem="0"/>
    <dataField name="Somme de Received" fld="5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2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L2:P10" firstHeaderRow="0" firstDataRow="1" firstDataCol="1"/>
  <pivotFields count="15">
    <pivotField axis="axisRow" numFmtId="173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dataField="1" showAll="0">
      <items count="138">
        <item x="129"/>
        <item x="24"/>
        <item x="120"/>
        <item x="16"/>
        <item x="110"/>
        <item x="106"/>
        <item x="70"/>
        <item x="75"/>
        <item x="67"/>
        <item x="54"/>
        <item x="101"/>
        <item x="103"/>
        <item x="98"/>
        <item x="99"/>
        <item x="31"/>
        <item x="123"/>
        <item x="63"/>
        <item x="41"/>
        <item x="42"/>
        <item x="12"/>
        <item x="133"/>
        <item x="55"/>
        <item x="37"/>
        <item x="26"/>
        <item x="33"/>
        <item x="94"/>
        <item x="36"/>
        <item x="40"/>
        <item x="27"/>
        <item x="124"/>
        <item x="4"/>
        <item x="34"/>
        <item x="119"/>
        <item x="72"/>
        <item x="125"/>
        <item x="6"/>
        <item x="112"/>
        <item x="45"/>
        <item x="48"/>
        <item x="65"/>
        <item x="100"/>
        <item x="130"/>
        <item x="115"/>
        <item x="53"/>
        <item x="117"/>
        <item x="64"/>
        <item x="5"/>
        <item x="69"/>
        <item x="122"/>
        <item x="39"/>
        <item x="0"/>
        <item x="1"/>
        <item x="56"/>
        <item x="15"/>
        <item x="82"/>
        <item x="50"/>
        <item x="7"/>
        <item x="84"/>
        <item x="51"/>
        <item x="128"/>
        <item x="127"/>
        <item x="44"/>
        <item x="28"/>
        <item x="76"/>
        <item x="19"/>
        <item x="81"/>
        <item x="29"/>
        <item x="131"/>
        <item x="88"/>
        <item x="80"/>
        <item x="77"/>
        <item x="102"/>
        <item x="126"/>
        <item x="86"/>
        <item x="92"/>
        <item x="22"/>
        <item x="87"/>
        <item x="30"/>
        <item x="135"/>
        <item x="78"/>
        <item x="111"/>
        <item x="20"/>
        <item x="23"/>
        <item x="71"/>
        <item x="95"/>
        <item x="79"/>
        <item x="136"/>
        <item x="134"/>
        <item x="118"/>
        <item x="21"/>
        <item x="74"/>
        <item x="38"/>
        <item x="93"/>
        <item x="116"/>
        <item x="73"/>
        <item x="17"/>
        <item x="108"/>
        <item x="3"/>
        <item x="35"/>
        <item x="104"/>
        <item x="2"/>
        <item x="13"/>
        <item x="46"/>
        <item x="32"/>
        <item x="68"/>
        <item x="107"/>
        <item x="114"/>
        <item x="83"/>
        <item x="11"/>
        <item x="52"/>
        <item x="18"/>
        <item x="105"/>
        <item x="85"/>
        <item x="43"/>
        <item x="113"/>
        <item x="132"/>
        <item x="97"/>
        <item x="49"/>
        <item x="58"/>
        <item x="121"/>
        <item x="14"/>
        <item x="109"/>
        <item x="96"/>
        <item x="62"/>
        <item x="66"/>
        <item x="25"/>
        <item x="89"/>
        <item x="10"/>
        <item x="8"/>
        <item x="90"/>
        <item x="61"/>
        <item x="60"/>
        <item x="91"/>
        <item x="9"/>
        <item x="59"/>
        <item x="57"/>
        <item x="47"/>
        <item t="default"/>
      </items>
    </pivotField>
    <pivotField dataField="1" showAll="0">
      <items count="196">
        <item x="174"/>
        <item x="25"/>
        <item x="156"/>
        <item x="16"/>
        <item x="134"/>
        <item x="128"/>
        <item x="80"/>
        <item x="149"/>
        <item x="85"/>
        <item x="124"/>
        <item x="76"/>
        <item x="59"/>
        <item x="140"/>
        <item x="118"/>
        <item x="120"/>
        <item x="170"/>
        <item x="115"/>
        <item x="116"/>
        <item x="138"/>
        <item x="162"/>
        <item x="69"/>
        <item x="32"/>
        <item x="70"/>
        <item x="178"/>
        <item x="79"/>
        <item x="42"/>
        <item x="126"/>
        <item x="125"/>
        <item x="53"/>
        <item x="43"/>
        <item x="188"/>
        <item x="182"/>
        <item x="12"/>
        <item x="60"/>
        <item x="159"/>
        <item x="163"/>
        <item x="72"/>
        <item x="38"/>
        <item x="27"/>
        <item x="148"/>
        <item x="34"/>
        <item x="110"/>
        <item x="164"/>
        <item x="137"/>
        <item x="106"/>
        <item x="37"/>
        <item x="41"/>
        <item x="28"/>
        <item x="155"/>
        <item x="4"/>
        <item x="35"/>
        <item x="168"/>
        <item x="82"/>
        <item x="181"/>
        <item x="139"/>
        <item x="108"/>
        <item x="6"/>
        <item x="50"/>
        <item x="46"/>
        <item x="117"/>
        <item x="73"/>
        <item x="150"/>
        <item x="152"/>
        <item x="176"/>
        <item x="58"/>
        <item x="147"/>
        <item x="71"/>
        <item x="107"/>
        <item x="5"/>
        <item x="160"/>
        <item x="78"/>
        <item x="191"/>
        <item x="131"/>
        <item x="52"/>
        <item x="40"/>
        <item x="171"/>
        <item x="0"/>
        <item x="61"/>
        <item x="62"/>
        <item x="1"/>
        <item x="15"/>
        <item x="161"/>
        <item x="92"/>
        <item x="111"/>
        <item x="190"/>
        <item x="94"/>
        <item x="54"/>
        <item x="55"/>
        <item x="7"/>
        <item x="173"/>
        <item x="135"/>
        <item x="172"/>
        <item x="49"/>
        <item x="187"/>
        <item x="45"/>
        <item x="29"/>
        <item x="86"/>
        <item x="91"/>
        <item x="19"/>
        <item x="193"/>
        <item x="122"/>
        <item x="177"/>
        <item x="30"/>
        <item x="98"/>
        <item x="90"/>
        <item x="169"/>
        <item x="87"/>
        <item x="119"/>
        <item x="175"/>
        <item x="96"/>
        <item x="103"/>
        <item x="145"/>
        <item x="123"/>
        <item x="97"/>
        <item x="192"/>
        <item x="179"/>
        <item x="23"/>
        <item x="158"/>
        <item x="99"/>
        <item x="31"/>
        <item x="88"/>
        <item x="186"/>
        <item x="136"/>
        <item x="75"/>
        <item x="184"/>
        <item x="21"/>
        <item x="81"/>
        <item x="24"/>
        <item x="112"/>
        <item x="89"/>
        <item x="154"/>
        <item x="143"/>
        <item x="189"/>
        <item x="185"/>
        <item x="109"/>
        <item x="151"/>
        <item x="22"/>
        <item x="84"/>
        <item x="104"/>
        <item x="39"/>
        <item x="83"/>
        <item x="183"/>
        <item x="57"/>
        <item x="130"/>
        <item x="17"/>
        <item x="105"/>
        <item x="3"/>
        <item x="36"/>
        <item x="121"/>
        <item x="141"/>
        <item x="2"/>
        <item x="153"/>
        <item x="13"/>
        <item x="166"/>
        <item x="47"/>
        <item x="33"/>
        <item x="146"/>
        <item x="77"/>
        <item x="129"/>
        <item x="167"/>
        <item x="165"/>
        <item x="93"/>
        <item x="132"/>
        <item x="11"/>
        <item x="56"/>
        <item x="20"/>
        <item x="144"/>
        <item x="18"/>
        <item x="127"/>
        <item x="95"/>
        <item x="142"/>
        <item x="44"/>
        <item x="180"/>
        <item x="114"/>
        <item x="51"/>
        <item x="64"/>
        <item x="157"/>
        <item x="194"/>
        <item x="133"/>
        <item x="113"/>
        <item x="14"/>
        <item x="68"/>
        <item x="74"/>
        <item x="100"/>
        <item x="26"/>
        <item x="10"/>
        <item x="8"/>
        <item x="101"/>
        <item x="67"/>
        <item x="66"/>
        <item x="102"/>
        <item x="9"/>
        <item x="65"/>
        <item x="63"/>
        <item x="48"/>
        <item t="default"/>
      </items>
    </pivotField>
    <pivotField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dataField="1" showAll="0">
      <items count="3">
        <item x="1"/>
        <item x="0"/>
        <item t="default"/>
      </items>
    </pivotField>
    <pivotField dataField="1" showAll="0">
      <items count="3">
        <item x="1"/>
        <item x="0"/>
        <item t="default"/>
      </items>
    </pivotField>
    <pivotField showAll="0"/>
  </pivotFields>
  <rowFields count="2">
    <field x="10"/>
    <field x="0"/>
  </rowFields>
  <rowItems count="8">
    <i>
      <x/>
    </i>
    <i r="1">
      <x v="2"/>
    </i>
    <i>
      <x v="1"/>
    </i>
    <i r="1">
      <x v="2"/>
    </i>
    <i>
      <x v="2"/>
    </i>
    <i r="1">
      <x v="1"/>
    </i>
    <i r="1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Spent  in XAF" fld="4" baseField="10" baseItem="0"/>
    <dataField name="Somme de Spent in $" fld="5" baseField="10" baseItem="0"/>
    <dataField name="Somme de Receved in XAF" fld="12" baseField="10" baseItem="0"/>
    <dataField name="Somme de Receved  $" fld="13" baseField="1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4-11-19T16:38:26.73" personId="{98584D5A-8469-40CB-92DE-DDEA7199F951}" id="{A12D1BC1-2A0A-4E82-995E-AE42C351895A}">
    <text>Link to the personal balance</text>
  </threadedComment>
  <threadedComment ref="D2" dT="2024-11-19T16:46:00.44" personId="{98584D5A-8469-40CB-92DE-DDEA7199F951}" id="{B9DA9024-4CA0-46CF-BCB7-17B9FFFC34E0}">
    <text>Link to the pivot table „Cash journal“</text>
  </threadedComment>
  <threadedComment ref="E2" dT="2024-11-19T16:46:19.39" personId="{98584D5A-8469-40CB-92DE-DDEA7199F951}" id="{62FAAB4B-6EAF-4972-9E02-C37D118F3FE1}">
    <text>Link to the pivot table „data“</text>
  </threadedComment>
  <threadedComment ref="H2" dT="2024-11-19T16:38:41.72" personId="{98584D5A-8469-40CB-92DE-DDEA7199F951}" id="{CD553CA5-AD13-43FC-A1F7-EF2DE5EF7A94}">
    <text>Link to the personal balance</text>
  </threadedComment>
  <threadedComment ref="I2" dT="2024-11-19T16:38:50.52" personId="{98584D5A-8469-40CB-92DE-DDEA7199F951}" id="{5991BF77-FCF5-4586-9875-1F89E2825A51}">
    <text>formula</text>
  </threadedComment>
  <threadedComment ref="C18" dT="2024-11-19T16:39:21.61" personId="{98584D5A-8469-40CB-92DE-DDEA7199F951}" id="{D10F2EAC-DC88-4867-AF3C-128AC3A279F6}">
    <text>Link to the bank journal</text>
  </threadedComment>
  <threadedComment ref="I18" dT="2024-11-19T16:39:34.22" personId="{98584D5A-8469-40CB-92DE-DDEA7199F951}" id="{E4BF8878-824E-43F9-ABC1-A73CD708EDCD}">
    <text>Link to the bank journal</text>
  </threadedComment>
  <threadedComment ref="C24" dT="2024-11-19T16:39:51.68" personId="{98584D5A-8469-40CB-92DE-DDEA7199F951}" id="{5E3CEF0F-AC62-41D5-A934-AC03EDB0B8D2}">
    <text>Link to the cash journal</text>
  </threadedComment>
  <threadedComment ref="H24" dT="2024-11-19T16:40:03.44" personId="{98584D5A-8469-40CB-92DE-DDEA7199F951}" id="{A6199460-FC62-44E6-AB78-D712E7363C57}">
    <text>Link to the cash journal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6" dT="2024-11-19T17:03:20.17" personId="{98584D5A-8469-40CB-92DE-DDEA7199F951}" id="{C1DF0F66-A833-40DC-8B4A-5A54471ED649}">
    <text>Adjust that according to your country</text>
  </threadedComment>
  <threadedComment ref="F23" dT="2024-11-19T17:02:43.89" personId="{98584D5A-8469-40CB-92DE-DDEA7199F951}" id="{F88D673A-DD35-4DCB-976B-8A96F322437E}">
    <text>Link to the cash journal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"/>
  <sheetViews>
    <sheetView workbookViewId="0">
      <selection activeCell="I30" sqref="I30"/>
    </sheetView>
  </sheetViews>
  <sheetFormatPr baseColWidth="10" defaultColWidth="8.75" defaultRowHeight="14"/>
  <cols>
    <col min="1" max="10" width="17.58203125" customWidth="1"/>
  </cols>
  <sheetData>
    <row r="1" spans="1:10" ht="39">
      <c r="A1" s="80" t="s">
        <v>10</v>
      </c>
      <c r="B1" s="81" t="s">
        <v>11</v>
      </c>
      <c r="C1" s="81" t="s">
        <v>528</v>
      </c>
      <c r="D1" s="81" t="s">
        <v>12</v>
      </c>
      <c r="E1" s="82" t="s">
        <v>13</v>
      </c>
      <c r="F1" s="82"/>
      <c r="G1" s="82" t="s">
        <v>493</v>
      </c>
      <c r="H1" s="81" t="s">
        <v>529</v>
      </c>
      <c r="I1" s="83" t="s">
        <v>14</v>
      </c>
      <c r="J1" s="6" t="s">
        <v>15</v>
      </c>
    </row>
    <row r="2" spans="1:10">
      <c r="A2" s="227" t="s">
        <v>453</v>
      </c>
      <c r="B2" s="7" t="s">
        <v>122</v>
      </c>
      <c r="C2" s="8">
        <f>+'Personals balance '!G4</f>
        <v>1663</v>
      </c>
      <c r="D2" s="9">
        <f>GETPIVOTDATA("Somme de Spent ",'Individual received'!$B$2,"Name","DOVI")</f>
        <v>415952</v>
      </c>
      <c r="E2" s="9">
        <f>+GETPIVOTDATA("Spent  in XAF",'Individual costs'!$B$2,"Name","DOVI")</f>
        <v>335452</v>
      </c>
      <c r="F2" s="9"/>
      <c r="G2" s="8">
        <f>GETPIVOTDATA("Somme de Received",'Individual received'!$B$2,"Name","DOVI")</f>
        <v>70000</v>
      </c>
      <c r="H2" s="10">
        <f>+'Personals balance '!G19</f>
        <v>12163</v>
      </c>
      <c r="I2" s="11">
        <f>C2+D2-E2+F2-G2</f>
        <v>12163</v>
      </c>
      <c r="J2" s="12">
        <f>H2-I2</f>
        <v>0</v>
      </c>
    </row>
    <row r="3" spans="1:10">
      <c r="A3" s="227" t="s">
        <v>207</v>
      </c>
      <c r="B3" s="7" t="s">
        <v>122</v>
      </c>
      <c r="C3" s="8">
        <f>+'Personals balance '!G23</f>
        <v>39370</v>
      </c>
      <c r="D3" s="9">
        <f>GETPIVOTDATA("Somme de Spent ",'Individual received'!$B$2,"Name","Crepin")</f>
        <v>929000</v>
      </c>
      <c r="E3" s="9">
        <f>+GETPIVOTDATA("Spent  in XAF",'Individual costs'!$B$2,"Name","Crépin")</f>
        <v>518000</v>
      </c>
      <c r="F3" s="9"/>
      <c r="G3" s="8">
        <f>GETPIVOTDATA("Somme de Received",'Individual received'!$B$2,"Name","Crepin")</f>
        <v>300000</v>
      </c>
      <c r="H3" s="10">
        <f>+'Personals balance '!G40</f>
        <v>150370</v>
      </c>
      <c r="I3" s="11">
        <f>C3+D3-E3+F3-G3</f>
        <v>150370</v>
      </c>
      <c r="J3" s="12">
        <f t="shared" ref="J3:J16" si="0">H3-I3</f>
        <v>0</v>
      </c>
    </row>
    <row r="4" spans="1:10">
      <c r="A4" s="227" t="s">
        <v>162</v>
      </c>
      <c r="B4" s="7" t="s">
        <v>121</v>
      </c>
      <c r="C4" s="8">
        <f>+'Personals balance '!G46</f>
        <v>15400</v>
      </c>
      <c r="D4" s="9">
        <f>GETPIVOTDATA("Somme de Spent ",'Individual received'!$B$2,"Name","Merveille")</f>
        <v>1541896</v>
      </c>
      <c r="E4" s="9">
        <f>+GETPIVOTDATA("Spent  in XAF",'Individual costs'!$B$2,"Name","Merveille")</f>
        <v>1557396</v>
      </c>
      <c r="F4" s="9"/>
      <c r="G4" s="8">
        <f>GETPIVOTDATA("Somme de Received",'Individual received'!$B$2,"Name","Merveille")</f>
        <v>0</v>
      </c>
      <c r="H4" s="10">
        <f>+'Personals balance '!G123</f>
        <v>-100</v>
      </c>
      <c r="I4" s="11">
        <f t="shared" ref="I4:I10" si="1">C4+D4-E4+F4-G4</f>
        <v>-100</v>
      </c>
      <c r="J4" s="12">
        <f t="shared" si="0"/>
        <v>0</v>
      </c>
    </row>
    <row r="5" spans="1:10">
      <c r="A5" s="227" t="s">
        <v>671</v>
      </c>
      <c r="B5" s="7" t="s">
        <v>121</v>
      </c>
      <c r="C5" s="8">
        <f>+'Personals balance '!G129</f>
        <v>0</v>
      </c>
      <c r="D5" s="9">
        <f>GETPIVOTDATA("Somme de Spent ",'Individual received'!$B$2,"Name","Parfaite")</f>
        <v>148185</v>
      </c>
      <c r="E5" s="9">
        <f>+GETPIVOTDATA("Spent  in XAF",'Individual costs'!$B$2,"Name","Parfaite")</f>
        <v>135185</v>
      </c>
      <c r="F5" s="9"/>
      <c r="G5" s="8">
        <f>GETPIVOTDATA("Somme de Received",'Individual received'!$B$2,"Name","Parfaite")</f>
        <v>0</v>
      </c>
      <c r="H5" s="10">
        <f>+'Personals balance '!G144</f>
        <v>13000</v>
      </c>
      <c r="I5" s="11">
        <f>C5+D5-E5+F5-G5</f>
        <v>13000</v>
      </c>
      <c r="J5" s="12">
        <f t="shared" si="0"/>
        <v>0</v>
      </c>
    </row>
    <row r="6" spans="1:10">
      <c r="A6" s="229" t="s">
        <v>454</v>
      </c>
      <c r="B6" s="230" t="s">
        <v>455</v>
      </c>
      <c r="C6" s="307">
        <v>233614</v>
      </c>
      <c r="D6" s="308"/>
      <c r="E6" s="308"/>
      <c r="F6" s="308"/>
      <c r="G6" s="307"/>
      <c r="H6" s="309">
        <v>233614</v>
      </c>
      <c r="I6" s="310">
        <f t="shared" si="1"/>
        <v>233614</v>
      </c>
      <c r="J6" s="12">
        <f t="shared" si="0"/>
        <v>0</v>
      </c>
    </row>
    <row r="7" spans="1:10">
      <c r="A7" s="229" t="s">
        <v>456</v>
      </c>
      <c r="B7" s="230" t="s">
        <v>455</v>
      </c>
      <c r="C7" s="307">
        <v>249769</v>
      </c>
      <c r="D7" s="308"/>
      <c r="E7" s="308"/>
      <c r="F7" s="308"/>
      <c r="G7" s="307"/>
      <c r="H7" s="309">
        <v>249769</v>
      </c>
      <c r="I7" s="310">
        <f t="shared" si="1"/>
        <v>249769</v>
      </c>
      <c r="J7" s="12">
        <f t="shared" si="0"/>
        <v>0</v>
      </c>
    </row>
    <row r="8" spans="1:10" ht="15.5">
      <c r="A8" s="228" t="s">
        <v>327</v>
      </c>
      <c r="B8" s="7" t="s">
        <v>455</v>
      </c>
      <c r="C8" s="8">
        <f>+'Personals balance '!G204</f>
        <v>4400</v>
      </c>
      <c r="D8" s="9">
        <f>GETPIVOTDATA("Somme de Spent ",'Individual received'!$B$2,"Name","IT87")</f>
        <v>568000</v>
      </c>
      <c r="E8" s="9">
        <f>+GETPIVOTDATA("Spent  in XAF",'Individual costs'!$B$2,"Name","IT87")</f>
        <v>565000</v>
      </c>
      <c r="F8" s="9"/>
      <c r="G8" s="8">
        <f>GETPIVOTDATA("Somme de Received",'Individual received'!$B$2,"Name","IT87")</f>
        <v>0</v>
      </c>
      <c r="H8" s="10">
        <f>+'Personals balance '!G235</f>
        <v>7400</v>
      </c>
      <c r="I8" s="11">
        <f t="shared" si="1"/>
        <v>7400</v>
      </c>
      <c r="J8" s="12">
        <f t="shared" si="0"/>
        <v>0</v>
      </c>
    </row>
    <row r="9" spans="1:10">
      <c r="A9" s="227" t="s">
        <v>190</v>
      </c>
      <c r="B9" s="7" t="s">
        <v>455</v>
      </c>
      <c r="C9" s="8">
        <f>+'Personals balance '!G150</f>
        <v>56110</v>
      </c>
      <c r="D9" s="9">
        <f>GETPIVOTDATA("Somme de Spent ",'Individual received'!$B$2,"Name","P29")</f>
        <v>983000</v>
      </c>
      <c r="E9" s="9">
        <f>+GETPIVOTDATA("Spent  in XAF",'Individual costs'!$B$2,"Name","P29")</f>
        <v>984300</v>
      </c>
      <c r="F9" s="9"/>
      <c r="G9" s="8">
        <f>GETPIVOTDATA("Somme de Received",'Individual received'!$B$2,"Name","P29")</f>
        <v>0</v>
      </c>
      <c r="H9" s="10">
        <f>+'Personals balance '!G177</f>
        <v>54810</v>
      </c>
      <c r="I9" s="11">
        <f t="shared" si="1"/>
        <v>54810</v>
      </c>
      <c r="J9" s="12">
        <f t="shared" si="0"/>
        <v>0</v>
      </c>
    </row>
    <row r="10" spans="1:10">
      <c r="A10" s="227" t="s">
        <v>181</v>
      </c>
      <c r="B10" s="7" t="s">
        <v>455</v>
      </c>
      <c r="C10" s="8">
        <f>+'Personals balance '!G181</f>
        <v>24750</v>
      </c>
      <c r="D10" s="9">
        <f>GETPIVOTDATA("Somme de Spent ",'Individual received'!$B$2,"Name","T73")</f>
        <v>895000</v>
      </c>
      <c r="E10" s="9">
        <f>+GETPIVOTDATA("Spent  in XAF",'Individual costs'!$B$2,"Name","T73")</f>
        <v>629700</v>
      </c>
      <c r="F10" s="9"/>
      <c r="G10" s="8">
        <f>GETPIVOTDATA("Somme de Received",'Individual received'!$B$2,"Name","T73")</f>
        <v>150000</v>
      </c>
      <c r="H10" s="10">
        <f>+'Personals balance '!G199</f>
        <v>140050</v>
      </c>
      <c r="I10" s="11">
        <f t="shared" si="1"/>
        <v>140050</v>
      </c>
      <c r="J10" s="12">
        <f t="shared" si="0"/>
        <v>0</v>
      </c>
    </row>
    <row r="11" spans="1:10">
      <c r="A11" s="77" t="s">
        <v>333</v>
      </c>
      <c r="B11" s="7" t="s">
        <v>455</v>
      </c>
      <c r="C11" s="8">
        <f>+'Personals balance '!G240</f>
        <v>30150</v>
      </c>
      <c r="D11" s="9">
        <f>GETPIVOTDATA("Somme de Spent ",'Individual received'!$B$2,"Name","G12")</f>
        <v>237000</v>
      </c>
      <c r="E11" s="9">
        <f>+GETPIVOTDATA("Spent  in XAF",'Individual costs'!$B$2,"Name","G12")</f>
        <v>248100</v>
      </c>
      <c r="F11" s="9"/>
      <c r="G11" s="8">
        <f>GETPIVOTDATA("Somme de Received",'Individual received'!$B$2,"Name","G12")</f>
        <v>0</v>
      </c>
      <c r="H11" s="10">
        <f>+'Personals balance '!G255</f>
        <v>19050</v>
      </c>
      <c r="I11" s="11">
        <f>C11+D11-E11+F11-G11</f>
        <v>19050</v>
      </c>
      <c r="J11" s="12">
        <f t="shared" si="0"/>
        <v>0</v>
      </c>
    </row>
    <row r="12" spans="1:10">
      <c r="A12" s="227" t="s">
        <v>193</v>
      </c>
      <c r="B12" s="7" t="s">
        <v>120</v>
      </c>
      <c r="C12" s="13">
        <f>+'Personals balance '!G258</f>
        <v>17222</v>
      </c>
      <c r="D12" s="13">
        <f>GETPIVOTDATA("Somme de Spent ",'Individual received'!$B$2,"Name","Romain")</f>
        <v>670000</v>
      </c>
      <c r="E12" s="14">
        <f>+GETPIVOTDATA("Spent  in XAF",'Individual costs'!$B$2,"Name","Romain")</f>
        <v>564175</v>
      </c>
      <c r="F12" s="77"/>
      <c r="G12" s="77">
        <f>GETPIVOTDATA("Somme de Received",'Individual received'!$B$2,"Name","Romain")</f>
        <v>0</v>
      </c>
      <c r="H12" s="13">
        <f>+'Personals balance '!G278</f>
        <v>123047</v>
      </c>
      <c r="I12" s="11">
        <f t="shared" ref="I12:I16" si="2">C12+D12-E12+F12-G12</f>
        <v>123047</v>
      </c>
      <c r="J12" s="12">
        <f t="shared" si="0"/>
        <v>0</v>
      </c>
    </row>
    <row r="13" spans="1:10">
      <c r="A13" s="227" t="s">
        <v>448</v>
      </c>
      <c r="B13" s="7" t="s">
        <v>120</v>
      </c>
      <c r="C13" s="13">
        <f>+'Personals balance '!G346</f>
        <v>8130</v>
      </c>
      <c r="D13" s="13"/>
      <c r="E13" s="14"/>
      <c r="F13" s="77"/>
      <c r="G13" s="209"/>
      <c r="H13" s="210">
        <f>+'Personals balance '!G347</f>
        <v>8130</v>
      </c>
      <c r="I13" s="11">
        <f t="shared" si="2"/>
        <v>8130</v>
      </c>
      <c r="J13" s="12">
        <f t="shared" si="0"/>
        <v>0</v>
      </c>
    </row>
    <row r="14" spans="1:10">
      <c r="A14" s="227" t="s">
        <v>196</v>
      </c>
      <c r="B14" s="7" t="s">
        <v>120</v>
      </c>
      <c r="C14" s="13">
        <f>+'Personals balance '!G285</f>
        <v>7900</v>
      </c>
      <c r="D14" s="13">
        <f>GETPIVOTDATA("Somme de Spent ",'Individual received'!$B$2,"Name","Abraham")</f>
        <v>564830</v>
      </c>
      <c r="E14" s="14">
        <f>+GETPIVOTDATA("Spent  in XAF",'Individual costs'!$B$2,"Name","Abraham")</f>
        <v>443930</v>
      </c>
      <c r="F14" s="77"/>
      <c r="G14" s="209">
        <f>+GETPIVOTDATA("Somme de Received",'Individual received'!$B$2,"Name","Abraham")</f>
        <v>0</v>
      </c>
      <c r="H14" s="210">
        <f>+'Personals balance '!G303</f>
        <v>128800</v>
      </c>
      <c r="I14" s="11">
        <f t="shared" si="2"/>
        <v>128800</v>
      </c>
      <c r="J14" s="12">
        <f t="shared" si="0"/>
        <v>0</v>
      </c>
    </row>
    <row r="15" spans="1:10">
      <c r="A15" s="227" t="s">
        <v>199</v>
      </c>
      <c r="B15" s="7" t="s">
        <v>120</v>
      </c>
      <c r="C15" s="13">
        <f>+'Personals balance '!G309</f>
        <v>12500</v>
      </c>
      <c r="D15" s="13">
        <f>GETPIVOTDATA("Somme de Spent ",'Individual received'!$B$2,"Name","Roderlin")</f>
        <v>381785</v>
      </c>
      <c r="E15" s="14">
        <f>+GETPIVOTDATA("Spent  in XAF",'Individual costs'!$B$2,"Name","Roderlin")</f>
        <v>383685</v>
      </c>
      <c r="F15" s="77"/>
      <c r="G15" s="209">
        <f>+GETPIVOTDATA("Somme de Received",'Individual received'!$B$2,"Name","Roderlin")</f>
        <v>0</v>
      </c>
      <c r="H15" s="210">
        <f>+'Personals balance '!G342</f>
        <v>10600</v>
      </c>
      <c r="I15" s="11">
        <f t="shared" si="2"/>
        <v>10600</v>
      </c>
      <c r="J15" s="12">
        <f t="shared" si="0"/>
        <v>0</v>
      </c>
    </row>
    <row r="16" spans="1:10">
      <c r="A16" s="227" t="s">
        <v>220</v>
      </c>
      <c r="B16" s="7" t="s">
        <v>123</v>
      </c>
      <c r="C16" s="13">
        <f>+'Personals balance '!G351</f>
        <v>9000</v>
      </c>
      <c r="D16" s="13">
        <f>GETPIVOTDATA("Somme de Spent ",'Individual received'!$B$2,"Name","Evariste")</f>
        <v>881000</v>
      </c>
      <c r="E16" s="14">
        <f>+GETPIVOTDATA("Spent  in XAF",'Individual costs'!$B$2,"Name","Evariste")</f>
        <v>884300</v>
      </c>
      <c r="F16" s="77"/>
      <c r="G16" s="209">
        <f>+GETPIVOTDATA("Somme de Received",'Individual received'!$B$2,"Name","Evariste")</f>
        <v>0</v>
      </c>
      <c r="H16" s="210">
        <f>+'Personals balance '!G370</f>
        <v>5700</v>
      </c>
      <c r="I16" s="11">
        <f t="shared" si="2"/>
        <v>5700</v>
      </c>
      <c r="J16" s="12">
        <f t="shared" si="0"/>
        <v>0</v>
      </c>
    </row>
    <row r="17" spans="1:10">
      <c r="A17" s="15" t="s">
        <v>18</v>
      </c>
      <c r="B17" s="16"/>
      <c r="C17" s="17">
        <f t="shared" ref="C17:I17" si="3">SUM(C2:C16)</f>
        <v>709978</v>
      </c>
      <c r="D17" s="17">
        <f t="shared" si="3"/>
        <v>8215648</v>
      </c>
      <c r="E17" s="17">
        <f t="shared" si="3"/>
        <v>7249223</v>
      </c>
      <c r="F17" s="17">
        <f t="shared" si="3"/>
        <v>0</v>
      </c>
      <c r="G17" s="17">
        <f>SUM(G2:G16)</f>
        <v>520000</v>
      </c>
      <c r="H17" s="17">
        <f>SUM(H2:H16)</f>
        <v>1156403</v>
      </c>
      <c r="I17" s="17">
        <f t="shared" si="3"/>
        <v>1156403</v>
      </c>
      <c r="J17" s="18">
        <f>H17-I17</f>
        <v>0</v>
      </c>
    </row>
    <row r="18" spans="1:10">
      <c r="A18" s="19"/>
      <c r="B18" s="20"/>
      <c r="C18" s="21"/>
      <c r="D18" s="22"/>
      <c r="E18" s="22"/>
      <c r="F18" s="78" t="s">
        <v>16</v>
      </c>
      <c r="G18" s="79" t="s">
        <v>17</v>
      </c>
      <c r="H18" s="21"/>
      <c r="I18" s="23"/>
      <c r="J18" s="12"/>
    </row>
    <row r="19" spans="1:10">
      <c r="A19" s="24" t="s">
        <v>28</v>
      </c>
      <c r="B19" s="25"/>
      <c r="C19" s="26">
        <f>+'Bank journal'!G2</f>
        <v>15124165</v>
      </c>
      <c r="D19" s="27">
        <f>+'Bank journal'!F10</f>
        <v>0</v>
      </c>
      <c r="E19" s="26">
        <f>+GETPIVOTDATA("Spent  in XAF",'Individual costs'!$B$2,"Name","BCI")</f>
        <v>1187686</v>
      </c>
      <c r="F19" s="26"/>
      <c r="G19" s="26">
        <f>+GETPIVOTDATA("Somme de Received",'Individual received'!$B$2,"Name","BCI")</f>
        <v>8000000</v>
      </c>
      <c r="H19" s="27">
        <f>+'Bank reconciliation'!D53</f>
        <v>5936479</v>
      </c>
      <c r="I19" s="28">
        <f>C19+D19-E19+F19-G19</f>
        <v>5936479</v>
      </c>
      <c r="J19" s="12">
        <f>H19-I19</f>
        <v>0</v>
      </c>
    </row>
    <row r="20" spans="1:10">
      <c r="A20" s="84" t="s">
        <v>19</v>
      </c>
      <c r="B20" s="85"/>
      <c r="C20" s="85">
        <f t="shared" ref="C20:I20" si="4">SUM(C19:C19)</f>
        <v>15124165</v>
      </c>
      <c r="D20" s="85">
        <f t="shared" si="4"/>
        <v>0</v>
      </c>
      <c r="E20" s="85">
        <f t="shared" si="4"/>
        <v>1187686</v>
      </c>
      <c r="F20" s="85">
        <f t="shared" si="4"/>
        <v>0</v>
      </c>
      <c r="G20" s="85">
        <f t="shared" si="4"/>
        <v>8000000</v>
      </c>
      <c r="H20" s="85">
        <f t="shared" si="4"/>
        <v>5936479</v>
      </c>
      <c r="I20" s="86">
        <f t="shared" si="4"/>
        <v>5936479</v>
      </c>
      <c r="J20" s="18">
        <f>H20-I20</f>
        <v>0</v>
      </c>
    </row>
    <row r="21" spans="1:10">
      <c r="A21" s="29" t="s">
        <v>20</v>
      </c>
      <c r="B21" s="30"/>
      <c r="C21" s="30"/>
      <c r="D21" s="31"/>
      <c r="E21" s="32"/>
      <c r="F21" s="30"/>
      <c r="G21" s="30"/>
      <c r="H21" s="30"/>
      <c r="I21" s="33"/>
      <c r="J21" s="34"/>
    </row>
    <row r="22" spans="1:10" ht="14.5" thickBot="1">
      <c r="A22" s="35"/>
      <c r="B22" s="36"/>
      <c r="C22" s="36"/>
      <c r="D22" s="36"/>
      <c r="E22" s="36"/>
      <c r="F22" s="36"/>
      <c r="G22" s="36"/>
      <c r="H22" s="36"/>
      <c r="I22" s="37"/>
      <c r="J22" s="12"/>
    </row>
    <row r="23" spans="1:10" ht="14.5" thickBot="1">
      <c r="A23" s="38" t="s">
        <v>21</v>
      </c>
      <c r="B23" s="39"/>
      <c r="C23" s="39"/>
      <c r="D23" s="39"/>
      <c r="E23" s="39">
        <f>E17+E20</f>
        <v>8436909</v>
      </c>
      <c r="F23" s="39"/>
      <c r="G23" s="39"/>
      <c r="H23" s="39"/>
      <c r="I23" s="40"/>
      <c r="J23" s="41"/>
    </row>
    <row r="24" spans="1:10">
      <c r="A24" s="42"/>
      <c r="B24" s="43"/>
      <c r="C24" s="43"/>
      <c r="D24" s="43"/>
      <c r="E24" s="43"/>
      <c r="F24" s="43"/>
      <c r="G24" s="43"/>
      <c r="H24" s="43"/>
      <c r="I24" s="44"/>
      <c r="J24" s="12"/>
    </row>
    <row r="25" spans="1:10">
      <c r="A25" s="45" t="s">
        <v>22</v>
      </c>
      <c r="B25" s="46"/>
      <c r="C25" s="47">
        <f>+'Cash journal'!G2</f>
        <v>557825</v>
      </c>
      <c r="D25" s="48">
        <f>+GETPIVOTDATA("Somme de Received",'Individual received'!$B$2)</f>
        <v>8520000</v>
      </c>
      <c r="E25" s="48">
        <f>+GETPIVOTDATA("Somme de Spent ",'Individual received'!$B$2)</f>
        <v>8215648</v>
      </c>
      <c r="F25" s="48"/>
      <c r="G25" s="48"/>
      <c r="H25" s="48">
        <f>+'Cash journal'!G123</f>
        <v>862177</v>
      </c>
      <c r="I25" s="49">
        <f>C25+D25-E25+F25</f>
        <v>862177</v>
      </c>
      <c r="J25" s="12">
        <f t="shared" ref="J25" si="5">H25-I25</f>
        <v>0</v>
      </c>
    </row>
    <row r="26" spans="1:10" ht="14.5" thickBot="1">
      <c r="A26" s="50"/>
      <c r="B26" s="51"/>
      <c r="C26" s="51"/>
      <c r="D26" s="51"/>
      <c r="E26" s="51"/>
      <c r="F26" s="51"/>
      <c r="G26" s="51"/>
      <c r="H26" s="51"/>
      <c r="I26" s="51"/>
      <c r="J26" s="52"/>
    </row>
    <row r="27" spans="1:10" ht="15.5">
      <c r="A27" s="53"/>
      <c r="B27" s="54"/>
      <c r="C27" s="55"/>
      <c r="D27" s="393" t="s">
        <v>23</v>
      </c>
      <c r="E27" s="393"/>
      <c r="F27" s="55"/>
      <c r="G27" s="55"/>
      <c r="H27" s="55"/>
      <c r="I27" s="56"/>
      <c r="J27" s="57"/>
    </row>
    <row r="28" spans="1:10" ht="46.5">
      <c r="A28" s="58"/>
      <c r="B28" s="59"/>
      <c r="C28" s="60" t="s">
        <v>527</v>
      </c>
      <c r="D28" s="60" t="s">
        <v>31</v>
      </c>
      <c r="E28" s="60" t="s">
        <v>24</v>
      </c>
      <c r="F28" s="60"/>
      <c r="G28" s="60"/>
      <c r="H28" s="60" t="s">
        <v>969</v>
      </c>
      <c r="I28" s="60" t="s">
        <v>25</v>
      </c>
      <c r="J28" s="61" t="s">
        <v>26</v>
      </c>
    </row>
    <row r="29" spans="1:10" ht="16" thickBot="1">
      <c r="A29" s="62" t="s">
        <v>27</v>
      </c>
      <c r="B29" s="63"/>
      <c r="C29" s="64">
        <f>C25+C20+C17</f>
        <v>16391968</v>
      </c>
      <c r="D29" s="64">
        <f>D19</f>
        <v>0</v>
      </c>
      <c r="E29" s="64">
        <f>E23</f>
        <v>8436909</v>
      </c>
      <c r="F29" s="65"/>
      <c r="G29" s="64"/>
      <c r="H29" s="64">
        <f>H25+H20+H17</f>
        <v>7955059</v>
      </c>
      <c r="I29" s="64">
        <f>C29+D29-E29</f>
        <v>7955059</v>
      </c>
      <c r="J29" s="66">
        <f>H29-I29</f>
        <v>0</v>
      </c>
    </row>
  </sheetData>
  <mergeCells count="1">
    <mergeCell ref="D27:E27"/>
  </mergeCells>
  <phoneticPr fontId="27" type="noConversion"/>
  <pageMargins left="0.7" right="0.7" top="0.78740157499999996" bottom="0.78740157499999996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31"/>
  <sheetViews>
    <sheetView workbookViewId="0">
      <selection activeCell="K13" sqref="K13"/>
    </sheetView>
  </sheetViews>
  <sheetFormatPr baseColWidth="10" defaultColWidth="8.75" defaultRowHeight="14"/>
  <cols>
    <col min="1" max="1" width="2.83203125" customWidth="1"/>
    <col min="2" max="2" width="15.25" customWidth="1"/>
    <col min="3" max="3" width="11.1640625" style="72" customWidth="1"/>
    <col min="4" max="4" width="11.1640625" style="174" customWidth="1"/>
    <col min="5" max="5" width="11.1640625" customWidth="1"/>
    <col min="6" max="6" width="14.75" customWidth="1"/>
  </cols>
  <sheetData>
    <row r="1" spans="2:6">
      <c r="B1" t="s">
        <v>70</v>
      </c>
      <c r="C1" s="72" t="s">
        <v>100</v>
      </c>
    </row>
    <row r="2" spans="2:6">
      <c r="B2" t="s">
        <v>71</v>
      </c>
      <c r="C2" s="72" t="s">
        <v>776</v>
      </c>
    </row>
    <row r="3" spans="2:6">
      <c r="B3" t="s">
        <v>72</v>
      </c>
      <c r="C3" s="293">
        <v>2025</v>
      </c>
    </row>
    <row r="4" spans="2:6">
      <c r="C4"/>
    </row>
    <row r="5" spans="2:6">
      <c r="B5" s="168" t="s">
        <v>59</v>
      </c>
      <c r="C5" s="172"/>
      <c r="D5" s="173"/>
      <c r="E5" s="77"/>
      <c r="F5" s="77"/>
    </row>
    <row r="6" spans="2:6">
      <c r="B6" s="168"/>
      <c r="C6" s="172" t="s">
        <v>66</v>
      </c>
      <c r="D6" s="173"/>
      <c r="E6" s="77" t="s">
        <v>67</v>
      </c>
      <c r="F6" s="77"/>
    </row>
    <row r="7" spans="2:6">
      <c r="B7" s="77"/>
      <c r="C7" s="172">
        <v>10000</v>
      </c>
      <c r="D7" s="173" t="s">
        <v>60</v>
      </c>
      <c r="E7" s="77">
        <v>36</v>
      </c>
      <c r="F7" s="169">
        <f>C7*E7</f>
        <v>360000</v>
      </c>
    </row>
    <row r="8" spans="2:6">
      <c r="B8" s="77"/>
      <c r="C8" s="172">
        <v>5000</v>
      </c>
      <c r="D8" s="173" t="s">
        <v>60</v>
      </c>
      <c r="E8" s="77">
        <v>100</v>
      </c>
      <c r="F8" s="169">
        <f t="shared" ref="F8:F11" si="0">C8*E8</f>
        <v>500000</v>
      </c>
    </row>
    <row r="9" spans="2:6">
      <c r="B9" s="77"/>
      <c r="C9" s="172">
        <v>2000</v>
      </c>
      <c r="D9" s="173" t="s">
        <v>60</v>
      </c>
      <c r="E9" s="77">
        <v>1</v>
      </c>
      <c r="F9" s="169">
        <f t="shared" si="0"/>
        <v>2000</v>
      </c>
    </row>
    <row r="10" spans="2:6">
      <c r="B10" s="77"/>
      <c r="C10" s="172">
        <v>1000</v>
      </c>
      <c r="D10" s="173" t="s">
        <v>60</v>
      </c>
      <c r="E10" s="77">
        <v>0</v>
      </c>
      <c r="F10" s="169">
        <f t="shared" si="0"/>
        <v>0</v>
      </c>
    </row>
    <row r="11" spans="2:6">
      <c r="B11" s="77"/>
      <c r="C11" s="172">
        <v>500</v>
      </c>
      <c r="D11" s="173" t="s">
        <v>60</v>
      </c>
      <c r="E11" s="77">
        <v>0</v>
      </c>
      <c r="F11" s="169">
        <f t="shared" si="0"/>
        <v>0</v>
      </c>
    </row>
    <row r="12" spans="2:6">
      <c r="B12" s="77"/>
      <c r="C12" s="172"/>
      <c r="D12" s="173"/>
      <c r="E12" s="77"/>
      <c r="F12" s="77"/>
    </row>
    <row r="13" spans="2:6">
      <c r="B13" s="170" t="s">
        <v>61</v>
      </c>
      <c r="C13" s="172"/>
      <c r="D13" s="173"/>
      <c r="E13" s="77"/>
      <c r="F13" s="77"/>
    </row>
    <row r="14" spans="2:6">
      <c r="B14" s="77"/>
      <c r="C14" s="172">
        <v>500</v>
      </c>
      <c r="D14" s="173" t="s">
        <v>60</v>
      </c>
      <c r="E14" s="77">
        <v>0</v>
      </c>
      <c r="F14" s="77">
        <f>C14*E14</f>
        <v>0</v>
      </c>
    </row>
    <row r="15" spans="2:6">
      <c r="B15" s="77"/>
      <c r="C15" s="172">
        <v>100</v>
      </c>
      <c r="D15" s="173" t="s">
        <v>60</v>
      </c>
      <c r="E15" s="77">
        <v>1</v>
      </c>
      <c r="F15" s="77">
        <f t="shared" ref="F15:F19" si="1">C15*E15</f>
        <v>100</v>
      </c>
    </row>
    <row r="16" spans="2:6">
      <c r="B16" s="77"/>
      <c r="C16" s="172">
        <v>50</v>
      </c>
      <c r="D16" s="173" t="s">
        <v>60</v>
      </c>
      <c r="E16" s="77">
        <v>1</v>
      </c>
      <c r="F16" s="77">
        <f t="shared" si="1"/>
        <v>50</v>
      </c>
    </row>
    <row r="17" spans="2:7">
      <c r="B17" s="77"/>
      <c r="C17" s="172">
        <v>25</v>
      </c>
      <c r="D17" s="173" t="s">
        <v>60</v>
      </c>
      <c r="E17" s="77">
        <v>1</v>
      </c>
      <c r="F17" s="77">
        <f t="shared" si="1"/>
        <v>25</v>
      </c>
    </row>
    <row r="18" spans="2:7">
      <c r="B18" s="77"/>
      <c r="C18" s="172">
        <v>10</v>
      </c>
      <c r="D18" s="173" t="s">
        <v>60</v>
      </c>
      <c r="E18" s="77"/>
      <c r="F18" s="77">
        <f t="shared" si="1"/>
        <v>0</v>
      </c>
    </row>
    <row r="19" spans="2:7">
      <c r="B19" s="77"/>
      <c r="C19" s="172">
        <v>5</v>
      </c>
      <c r="D19" s="173" t="s">
        <v>60</v>
      </c>
      <c r="E19" s="77">
        <v>1</v>
      </c>
      <c r="F19" s="77">
        <f t="shared" si="1"/>
        <v>5</v>
      </c>
    </row>
    <row r="20" spans="2:7">
      <c r="B20" s="77"/>
      <c r="C20" s="172"/>
      <c r="D20" s="173"/>
      <c r="E20" s="77"/>
      <c r="F20" s="171">
        <f>SUM(F7:F19)</f>
        <v>862180</v>
      </c>
    </row>
    <row r="21" spans="2:7">
      <c r="B21" s="77"/>
      <c r="C21" s="172"/>
      <c r="D21" s="173"/>
      <c r="E21" s="77"/>
      <c r="F21" s="168"/>
    </row>
    <row r="22" spans="2:7">
      <c r="B22" s="77" t="s">
        <v>62</v>
      </c>
      <c r="C22" s="172"/>
      <c r="D22" s="173"/>
      <c r="E22" s="77"/>
      <c r="F22" s="171">
        <f>F20</f>
        <v>862180</v>
      </c>
    </row>
    <row r="23" spans="2:7">
      <c r="B23" s="77" t="s">
        <v>63</v>
      </c>
      <c r="C23" s="172"/>
      <c r="D23" s="173"/>
      <c r="E23" s="77"/>
      <c r="F23" s="171">
        <f>+'Cash journal'!G123</f>
        <v>862177</v>
      </c>
    </row>
    <row r="24" spans="2:7">
      <c r="B24" s="77" t="s">
        <v>64</v>
      </c>
      <c r="C24" s="172"/>
      <c r="D24" s="173"/>
      <c r="E24" s="77"/>
      <c r="F24" s="169">
        <f>+F22-F23</f>
        <v>3</v>
      </c>
    </row>
    <row r="26" spans="2:7">
      <c r="B26" t="s">
        <v>65</v>
      </c>
    </row>
    <row r="28" spans="2:7">
      <c r="B28" t="s">
        <v>68</v>
      </c>
      <c r="F28" t="s">
        <v>69</v>
      </c>
    </row>
    <row r="31" spans="2:7">
      <c r="B31" s="303" t="s">
        <v>500</v>
      </c>
      <c r="C31" s="304"/>
      <c r="D31" s="305"/>
      <c r="E31" s="303"/>
      <c r="F31" s="306" t="s">
        <v>501</v>
      </c>
      <c r="G31" s="303"/>
    </row>
  </sheetData>
  <pageMargins left="0.7" right="0.7" top="0.78740157499999996" bottom="0.78740157499999996" header="0.3" footer="0.3"/>
  <pageSetup paperSize="9" orientation="portrait" horizontalDpi="0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1"/>
  <sheetViews>
    <sheetView topLeftCell="A357" workbookViewId="0">
      <selection activeCell="A182" sqref="A182:B361"/>
    </sheetView>
  </sheetViews>
  <sheetFormatPr baseColWidth="10" defaultColWidth="8.75" defaultRowHeight="14"/>
  <cols>
    <col min="1" max="1" width="13.75" customWidth="1"/>
    <col min="2" max="2" width="75" customWidth="1"/>
    <col min="3" max="3" width="18.75" customWidth="1"/>
    <col min="4" max="4" width="19.25" customWidth="1"/>
    <col min="5" max="5" width="11.58203125" customWidth="1"/>
    <col min="6" max="6" width="16.1640625" customWidth="1"/>
    <col min="7" max="15" width="13.75" customWidth="1"/>
  </cols>
  <sheetData>
    <row r="1" spans="1:15" ht="14.5">
      <c r="A1" s="1" t="s">
        <v>0</v>
      </c>
      <c r="B1" s="2" t="s">
        <v>1</v>
      </c>
      <c r="C1" s="2" t="s">
        <v>2</v>
      </c>
      <c r="D1" s="2" t="s">
        <v>3</v>
      </c>
      <c r="E1" s="71" t="s">
        <v>154</v>
      </c>
      <c r="F1" s="73" t="s">
        <v>4</v>
      </c>
      <c r="G1" s="3" t="s">
        <v>5</v>
      </c>
      <c r="H1" s="4" t="s">
        <v>10</v>
      </c>
      <c r="I1" s="4" t="s">
        <v>6</v>
      </c>
      <c r="J1" s="4" t="s">
        <v>7</v>
      </c>
      <c r="K1" s="5" t="s">
        <v>8</v>
      </c>
      <c r="L1" s="4" t="s">
        <v>9</v>
      </c>
      <c r="M1" s="71" t="s">
        <v>153</v>
      </c>
      <c r="N1" s="71" t="s">
        <v>494</v>
      </c>
      <c r="O1" s="4" t="s">
        <v>73</v>
      </c>
    </row>
    <row r="2" spans="1:15" ht="15.65" customHeight="1">
      <c r="A2" s="217">
        <v>45659</v>
      </c>
      <c r="B2" s="218" t="s">
        <v>155</v>
      </c>
      <c r="C2" s="218" t="s">
        <v>156</v>
      </c>
      <c r="D2" s="218" t="s">
        <v>122</v>
      </c>
      <c r="E2" s="218">
        <v>20000</v>
      </c>
      <c r="F2" s="294">
        <f t="shared" ref="F2:F33" si="0">+E2/G2</f>
        <v>35.074489446962986</v>
      </c>
      <c r="G2" s="218">
        <v>570.21500000000003</v>
      </c>
      <c r="H2" s="218" t="s">
        <v>157</v>
      </c>
      <c r="I2" s="218" t="s">
        <v>158</v>
      </c>
      <c r="J2" s="77" t="s">
        <v>100</v>
      </c>
      <c r="K2" s="218" t="s">
        <v>159</v>
      </c>
      <c r="L2" s="77" t="s">
        <v>160</v>
      </c>
      <c r="M2" s="77"/>
      <c r="N2" s="77"/>
    </row>
    <row r="3" spans="1:15" ht="15.65" customHeight="1">
      <c r="A3" s="217">
        <v>45659</v>
      </c>
      <c r="B3" s="218" t="s">
        <v>161</v>
      </c>
      <c r="C3" s="218" t="s">
        <v>156</v>
      </c>
      <c r="D3" s="218" t="s">
        <v>121</v>
      </c>
      <c r="E3" s="218">
        <v>21000</v>
      </c>
      <c r="F3" s="294">
        <f t="shared" si="0"/>
        <v>36.828213919311132</v>
      </c>
      <c r="G3" s="218">
        <v>570.21500000000003</v>
      </c>
      <c r="H3" s="218" t="s">
        <v>162</v>
      </c>
      <c r="I3" s="218" t="s">
        <v>163</v>
      </c>
      <c r="J3" s="77" t="s">
        <v>100</v>
      </c>
      <c r="K3" s="218" t="s">
        <v>159</v>
      </c>
      <c r="L3" s="77" t="s">
        <v>160</v>
      </c>
      <c r="M3" s="77"/>
      <c r="N3" s="77"/>
    </row>
    <row r="4" spans="1:15" ht="15.65" customHeight="1">
      <c r="A4" s="217">
        <v>45659</v>
      </c>
      <c r="B4" s="218" t="s">
        <v>164</v>
      </c>
      <c r="C4" s="218" t="s">
        <v>156</v>
      </c>
      <c r="D4" s="218" t="s">
        <v>120</v>
      </c>
      <c r="E4" s="218">
        <v>95000</v>
      </c>
      <c r="F4" s="294">
        <f t="shared" si="0"/>
        <v>166.60382487307419</v>
      </c>
      <c r="G4" s="218">
        <v>570.21500000000003</v>
      </c>
      <c r="H4" s="218" t="s">
        <v>162</v>
      </c>
      <c r="I4" s="218" t="s">
        <v>165</v>
      </c>
      <c r="J4" s="77" t="s">
        <v>100</v>
      </c>
      <c r="K4" s="218" t="s">
        <v>159</v>
      </c>
      <c r="L4" s="77" t="s">
        <v>160</v>
      </c>
      <c r="M4" s="77"/>
      <c r="N4" s="77"/>
    </row>
    <row r="5" spans="1:15" ht="15.65" customHeight="1">
      <c r="A5" s="217">
        <v>45659</v>
      </c>
      <c r="B5" s="218" t="s">
        <v>166</v>
      </c>
      <c r="C5" s="218" t="s">
        <v>156</v>
      </c>
      <c r="D5" s="218" t="s">
        <v>124</v>
      </c>
      <c r="E5" s="218">
        <v>88000</v>
      </c>
      <c r="F5" s="294">
        <f t="shared" si="0"/>
        <v>154.32775356663714</v>
      </c>
      <c r="G5" s="218">
        <v>570.21500000000003</v>
      </c>
      <c r="H5" s="218" t="s">
        <v>162</v>
      </c>
      <c r="I5" s="218" t="s">
        <v>167</v>
      </c>
      <c r="J5" s="77" t="s">
        <v>100</v>
      </c>
      <c r="K5" s="218" t="s">
        <v>159</v>
      </c>
      <c r="L5" s="77" t="s">
        <v>160</v>
      </c>
      <c r="M5" s="77"/>
      <c r="N5" s="77"/>
    </row>
    <row r="6" spans="1:15" ht="15.65" customHeight="1">
      <c r="A6" s="217">
        <v>45659</v>
      </c>
      <c r="B6" s="218" t="s">
        <v>168</v>
      </c>
      <c r="C6" s="218" t="s">
        <v>156</v>
      </c>
      <c r="D6" s="218" t="s">
        <v>123</v>
      </c>
      <c r="E6" s="218">
        <v>10000</v>
      </c>
      <c r="F6" s="294">
        <f t="shared" si="0"/>
        <v>17.537244723481493</v>
      </c>
      <c r="G6" s="218">
        <v>570.21500000000003</v>
      </c>
      <c r="H6" s="218" t="s">
        <v>162</v>
      </c>
      <c r="I6" s="218" t="s">
        <v>169</v>
      </c>
      <c r="J6" s="77" t="s">
        <v>100</v>
      </c>
      <c r="K6" s="218" t="s">
        <v>159</v>
      </c>
      <c r="L6" s="77" t="s">
        <v>160</v>
      </c>
      <c r="M6" s="77"/>
      <c r="N6" s="77"/>
    </row>
    <row r="7" spans="1:15" ht="15.65" customHeight="1">
      <c r="A7" s="217">
        <v>45659</v>
      </c>
      <c r="B7" s="218" t="s">
        <v>170</v>
      </c>
      <c r="C7" s="218" t="s">
        <v>156</v>
      </c>
      <c r="D7" s="218" t="s">
        <v>120</v>
      </c>
      <c r="E7" s="218">
        <v>10000</v>
      </c>
      <c r="F7" s="294">
        <f t="shared" si="0"/>
        <v>17.537244723481493</v>
      </c>
      <c r="G7" s="218">
        <v>570.21500000000003</v>
      </c>
      <c r="H7" s="218" t="s">
        <v>162</v>
      </c>
      <c r="I7" s="218" t="s">
        <v>171</v>
      </c>
      <c r="J7" s="77" t="s">
        <v>100</v>
      </c>
      <c r="K7" s="218" t="s">
        <v>159</v>
      </c>
      <c r="L7" s="77" t="s">
        <v>160</v>
      </c>
      <c r="M7" s="77"/>
      <c r="N7" s="77"/>
    </row>
    <row r="8" spans="1:15" ht="15.65" customHeight="1">
      <c r="A8" s="217">
        <v>45659</v>
      </c>
      <c r="B8" s="218" t="s">
        <v>172</v>
      </c>
      <c r="C8" s="218" t="s">
        <v>156</v>
      </c>
      <c r="D8" s="218" t="s">
        <v>124</v>
      </c>
      <c r="E8" s="218">
        <v>16000</v>
      </c>
      <c r="F8" s="294">
        <f t="shared" si="0"/>
        <v>28.059591557570389</v>
      </c>
      <c r="G8" s="218">
        <v>570.21500000000003</v>
      </c>
      <c r="H8" s="218" t="s">
        <v>162</v>
      </c>
      <c r="I8" s="218" t="s">
        <v>173</v>
      </c>
      <c r="J8" s="77" t="s">
        <v>100</v>
      </c>
      <c r="K8" s="218" t="s">
        <v>159</v>
      </c>
      <c r="L8" s="77" t="s">
        <v>160</v>
      </c>
      <c r="M8" s="77"/>
      <c r="N8" s="77"/>
    </row>
    <row r="9" spans="1:15" ht="15.65" customHeight="1">
      <c r="A9" s="217">
        <v>45659</v>
      </c>
      <c r="B9" s="218" t="s">
        <v>174</v>
      </c>
      <c r="C9" s="218" t="s">
        <v>156</v>
      </c>
      <c r="D9" s="218" t="s">
        <v>123</v>
      </c>
      <c r="E9" s="218">
        <v>11000</v>
      </c>
      <c r="F9" s="294">
        <f t="shared" si="0"/>
        <v>19.290969195829643</v>
      </c>
      <c r="G9" s="218">
        <v>570.21500000000003</v>
      </c>
      <c r="H9" s="218" t="s">
        <v>162</v>
      </c>
      <c r="I9" s="218" t="s">
        <v>175</v>
      </c>
      <c r="J9" s="77" t="s">
        <v>100</v>
      </c>
      <c r="K9" s="218" t="s">
        <v>159</v>
      </c>
      <c r="L9" s="77" t="s">
        <v>160</v>
      </c>
      <c r="M9" s="77"/>
      <c r="N9" s="77"/>
    </row>
    <row r="10" spans="1:15" ht="15.65" customHeight="1">
      <c r="A10" s="217">
        <v>45660</v>
      </c>
      <c r="B10" s="218" t="s">
        <v>176</v>
      </c>
      <c r="C10" s="218" t="s">
        <v>177</v>
      </c>
      <c r="D10" s="218" t="s">
        <v>121</v>
      </c>
      <c r="E10" s="218">
        <v>25000</v>
      </c>
      <c r="F10" s="294">
        <f t="shared" si="0"/>
        <v>43.843111808703732</v>
      </c>
      <c r="G10" s="218">
        <v>570.21500000000003</v>
      </c>
      <c r="H10" s="218" t="s">
        <v>162</v>
      </c>
      <c r="I10" s="218" t="s">
        <v>178</v>
      </c>
      <c r="J10" s="77" t="s">
        <v>100</v>
      </c>
      <c r="K10" s="218" t="s">
        <v>159</v>
      </c>
      <c r="L10" s="77" t="s">
        <v>160</v>
      </c>
      <c r="M10" s="77"/>
      <c r="N10" s="77"/>
    </row>
    <row r="11" spans="1:15" ht="15.65" customHeight="1">
      <c r="A11" s="217">
        <v>45663</v>
      </c>
      <c r="B11" s="218" t="s">
        <v>104</v>
      </c>
      <c r="C11" s="218" t="s">
        <v>126</v>
      </c>
      <c r="D11" s="218" t="s">
        <v>120</v>
      </c>
      <c r="E11" s="218">
        <v>300000</v>
      </c>
      <c r="F11" s="294">
        <f t="shared" si="0"/>
        <v>526.11734170444481</v>
      </c>
      <c r="G11" s="218">
        <v>570.21500000000003</v>
      </c>
      <c r="H11" s="218" t="s">
        <v>152</v>
      </c>
      <c r="I11" s="218" t="s">
        <v>133</v>
      </c>
      <c r="J11" s="77" t="s">
        <v>100</v>
      </c>
      <c r="K11" s="218" t="s">
        <v>159</v>
      </c>
      <c r="L11" s="77" t="s">
        <v>160</v>
      </c>
      <c r="M11" s="77"/>
      <c r="N11" s="77"/>
    </row>
    <row r="12" spans="1:15" ht="15.65" customHeight="1">
      <c r="A12" s="217">
        <v>45663</v>
      </c>
      <c r="B12" s="218" t="s">
        <v>105</v>
      </c>
      <c r="C12" s="218" t="s">
        <v>126</v>
      </c>
      <c r="D12" s="218" t="s">
        <v>120</v>
      </c>
      <c r="E12" s="218">
        <v>300000</v>
      </c>
      <c r="F12" s="294">
        <f t="shared" si="0"/>
        <v>526.11734170444481</v>
      </c>
      <c r="G12" s="218">
        <v>570.21500000000003</v>
      </c>
      <c r="H12" s="218" t="s">
        <v>152</v>
      </c>
      <c r="I12" s="218" t="s">
        <v>134</v>
      </c>
      <c r="J12" s="77" t="s">
        <v>100</v>
      </c>
      <c r="K12" s="218" t="s">
        <v>159</v>
      </c>
      <c r="L12" s="77" t="s">
        <v>160</v>
      </c>
      <c r="M12" s="77"/>
      <c r="N12" s="77"/>
    </row>
    <row r="13" spans="1:15" ht="15.65" customHeight="1">
      <c r="A13" s="217">
        <v>45663</v>
      </c>
      <c r="B13" s="218" t="s">
        <v>503</v>
      </c>
      <c r="C13" s="218" t="s">
        <v>129</v>
      </c>
      <c r="D13" s="218" t="s">
        <v>121</v>
      </c>
      <c r="E13" s="218">
        <v>500000</v>
      </c>
      <c r="F13" s="294">
        <f t="shared" si="0"/>
        <v>838.65459674971032</v>
      </c>
      <c r="G13" s="218">
        <v>596.19299999999998</v>
      </c>
      <c r="H13" s="218" t="s">
        <v>152</v>
      </c>
      <c r="I13" s="218" t="s">
        <v>136</v>
      </c>
      <c r="J13" s="77" t="s">
        <v>100</v>
      </c>
      <c r="K13" s="218" t="s">
        <v>159</v>
      </c>
      <c r="L13" s="77" t="s">
        <v>160</v>
      </c>
      <c r="M13" s="77"/>
      <c r="N13" s="77"/>
    </row>
    <row r="14" spans="1:15" ht="15.65" customHeight="1">
      <c r="A14" s="217">
        <v>45663</v>
      </c>
      <c r="B14" s="218" t="s">
        <v>506</v>
      </c>
      <c r="C14" s="218" t="s">
        <v>132</v>
      </c>
      <c r="D14" s="218" t="s">
        <v>121</v>
      </c>
      <c r="E14" s="218">
        <v>260000</v>
      </c>
      <c r="F14" s="294">
        <f t="shared" si="0"/>
        <v>436.10039030984933</v>
      </c>
      <c r="G14" s="218">
        <v>596.19299999999998</v>
      </c>
      <c r="H14" s="218" t="s">
        <v>152</v>
      </c>
      <c r="I14" s="218" t="s">
        <v>146</v>
      </c>
      <c r="J14" s="77" t="s">
        <v>100</v>
      </c>
      <c r="K14" s="218" t="s">
        <v>159</v>
      </c>
      <c r="L14" s="77" t="s">
        <v>160</v>
      </c>
      <c r="M14" s="77"/>
      <c r="N14" s="77"/>
    </row>
    <row r="15" spans="1:15" ht="15.65" customHeight="1">
      <c r="A15" s="217">
        <v>45663</v>
      </c>
      <c r="B15" s="218" t="s">
        <v>507</v>
      </c>
      <c r="C15" s="218" t="s">
        <v>126</v>
      </c>
      <c r="D15" s="218" t="s">
        <v>120</v>
      </c>
      <c r="E15" s="218">
        <v>150000</v>
      </c>
      <c r="F15" s="294">
        <f t="shared" si="0"/>
        <v>251.59637902491309</v>
      </c>
      <c r="G15" s="218">
        <v>596.19299999999998</v>
      </c>
      <c r="H15" s="218" t="s">
        <v>152</v>
      </c>
      <c r="I15" s="218" t="s">
        <v>147</v>
      </c>
      <c r="J15" s="77" t="s">
        <v>100</v>
      </c>
      <c r="K15" s="218" t="s">
        <v>159</v>
      </c>
      <c r="L15" s="77" t="s">
        <v>160</v>
      </c>
      <c r="M15" s="77"/>
      <c r="N15" s="77"/>
    </row>
    <row r="16" spans="1:15" ht="15.65" customHeight="1">
      <c r="A16" s="217">
        <v>45664</v>
      </c>
      <c r="B16" s="218" t="s">
        <v>1019</v>
      </c>
      <c r="C16" s="218" t="s">
        <v>179</v>
      </c>
      <c r="D16" s="218" t="s">
        <v>180</v>
      </c>
      <c r="E16" s="218">
        <v>7000</v>
      </c>
      <c r="F16" s="294">
        <f t="shared" si="0"/>
        <v>12.276071306437045</v>
      </c>
      <c r="G16" s="218">
        <v>570.21500000000003</v>
      </c>
      <c r="H16" s="218" t="s">
        <v>181</v>
      </c>
      <c r="I16" s="218" t="s">
        <v>182</v>
      </c>
      <c r="J16" s="77" t="s">
        <v>100</v>
      </c>
      <c r="K16" s="218" t="s">
        <v>159</v>
      </c>
      <c r="L16" s="77" t="s">
        <v>160</v>
      </c>
      <c r="M16" s="77"/>
      <c r="N16" s="77"/>
    </row>
    <row r="17" spans="1:14" ht="15.65" customHeight="1">
      <c r="A17" s="217">
        <v>45664</v>
      </c>
      <c r="B17" s="218" t="s">
        <v>1048</v>
      </c>
      <c r="C17" s="218" t="s">
        <v>183</v>
      </c>
      <c r="D17" s="218" t="s">
        <v>180</v>
      </c>
      <c r="E17" s="218">
        <v>100000</v>
      </c>
      <c r="F17" s="294">
        <f t="shared" si="0"/>
        <v>175.37244723481493</v>
      </c>
      <c r="G17" s="218">
        <v>570.21500000000003</v>
      </c>
      <c r="H17" s="218" t="s">
        <v>181</v>
      </c>
      <c r="I17" s="218" t="s">
        <v>184</v>
      </c>
      <c r="J17" s="77" t="s">
        <v>100</v>
      </c>
      <c r="K17" s="218" t="s">
        <v>159</v>
      </c>
      <c r="L17" s="77" t="s">
        <v>160</v>
      </c>
      <c r="M17" s="77"/>
      <c r="N17" s="77"/>
    </row>
    <row r="18" spans="1:14" ht="15.65" customHeight="1">
      <c r="A18" s="217">
        <v>45665</v>
      </c>
      <c r="B18" s="218" t="s">
        <v>185</v>
      </c>
      <c r="C18" s="218" t="s">
        <v>179</v>
      </c>
      <c r="D18" s="218" t="s">
        <v>122</v>
      </c>
      <c r="E18" s="218">
        <v>226000</v>
      </c>
      <c r="F18" s="294">
        <f t="shared" si="0"/>
        <v>396.34173075068173</v>
      </c>
      <c r="G18" s="218">
        <v>570.21500000000003</v>
      </c>
      <c r="H18" s="218" t="s">
        <v>157</v>
      </c>
      <c r="I18" s="218" t="s">
        <v>186</v>
      </c>
      <c r="J18" s="77" t="s">
        <v>100</v>
      </c>
      <c r="K18" s="218" t="s">
        <v>159</v>
      </c>
      <c r="L18" s="77" t="s">
        <v>160</v>
      </c>
      <c r="M18" s="77"/>
      <c r="N18" s="77"/>
    </row>
    <row r="19" spans="1:14" ht="15.65" customHeight="1">
      <c r="A19" s="217">
        <v>45665</v>
      </c>
      <c r="B19" s="218" t="s">
        <v>187</v>
      </c>
      <c r="C19" s="218" t="s">
        <v>188</v>
      </c>
      <c r="D19" s="218" t="s">
        <v>121</v>
      </c>
      <c r="E19" s="218">
        <v>22640</v>
      </c>
      <c r="F19" s="294">
        <f t="shared" si="0"/>
        <v>39.704322053962102</v>
      </c>
      <c r="G19" s="218">
        <v>570.21500000000003</v>
      </c>
      <c r="H19" s="218" t="s">
        <v>162</v>
      </c>
      <c r="I19" s="218" t="s">
        <v>189</v>
      </c>
      <c r="J19" s="77" t="s">
        <v>100</v>
      </c>
      <c r="K19" s="218" t="s">
        <v>159</v>
      </c>
      <c r="L19" s="77" t="s">
        <v>160</v>
      </c>
      <c r="M19" s="77"/>
      <c r="N19" s="77"/>
    </row>
    <row r="20" spans="1:14" ht="15.65" customHeight="1">
      <c r="A20" s="217">
        <v>45665</v>
      </c>
      <c r="B20" s="218" t="s">
        <v>1019</v>
      </c>
      <c r="C20" s="218" t="s">
        <v>179</v>
      </c>
      <c r="D20" s="218" t="s">
        <v>124</v>
      </c>
      <c r="E20" s="218">
        <v>7000</v>
      </c>
      <c r="F20" s="294">
        <f t="shared" si="0"/>
        <v>12.276071306437045</v>
      </c>
      <c r="G20" s="218">
        <v>570.21500000000003</v>
      </c>
      <c r="H20" s="218" t="s">
        <v>190</v>
      </c>
      <c r="I20" s="218" t="s">
        <v>191</v>
      </c>
      <c r="J20" s="77" t="s">
        <v>100</v>
      </c>
      <c r="K20" s="218" t="s">
        <v>159</v>
      </c>
      <c r="L20" s="77" t="s">
        <v>160</v>
      </c>
      <c r="M20" s="77"/>
      <c r="N20" s="77"/>
    </row>
    <row r="21" spans="1:14" ht="15.65" customHeight="1">
      <c r="A21" s="217">
        <v>45665</v>
      </c>
      <c r="B21" s="218" t="s">
        <v>192</v>
      </c>
      <c r="C21" s="218" t="s">
        <v>179</v>
      </c>
      <c r="D21" s="218" t="s">
        <v>120</v>
      </c>
      <c r="E21" s="218">
        <v>7000</v>
      </c>
      <c r="F21" s="294">
        <f t="shared" si="0"/>
        <v>12.276071306437045</v>
      </c>
      <c r="G21" s="218">
        <v>570.21500000000003</v>
      </c>
      <c r="H21" s="218" t="s">
        <v>193</v>
      </c>
      <c r="I21" s="218" t="s">
        <v>194</v>
      </c>
      <c r="J21" s="77" t="s">
        <v>100</v>
      </c>
      <c r="K21" s="218" t="s">
        <v>159</v>
      </c>
      <c r="L21" s="77" t="s">
        <v>160</v>
      </c>
      <c r="M21" s="77"/>
      <c r="N21" s="77"/>
    </row>
    <row r="22" spans="1:14" ht="15.65" customHeight="1">
      <c r="A22" s="217">
        <v>45665</v>
      </c>
      <c r="B22" s="218" t="s">
        <v>195</v>
      </c>
      <c r="C22" s="218" t="s">
        <v>179</v>
      </c>
      <c r="D22" s="218" t="s">
        <v>120</v>
      </c>
      <c r="E22" s="218">
        <v>7000</v>
      </c>
      <c r="F22" s="294">
        <f t="shared" si="0"/>
        <v>12.276071306437045</v>
      </c>
      <c r="G22" s="218">
        <v>570.21500000000003</v>
      </c>
      <c r="H22" s="218" t="s">
        <v>196</v>
      </c>
      <c r="I22" s="218" t="s">
        <v>197</v>
      </c>
      <c r="J22" s="77" t="s">
        <v>100</v>
      </c>
      <c r="K22" s="218" t="s">
        <v>159</v>
      </c>
      <c r="L22" s="77" t="s">
        <v>160</v>
      </c>
      <c r="M22" s="77"/>
      <c r="N22" s="77"/>
    </row>
    <row r="23" spans="1:14" ht="15.65" customHeight="1">
      <c r="A23" s="217">
        <v>45665</v>
      </c>
      <c r="B23" s="218" t="s">
        <v>198</v>
      </c>
      <c r="C23" s="218" t="s">
        <v>188</v>
      </c>
      <c r="D23" s="218" t="s">
        <v>121</v>
      </c>
      <c r="E23" s="218">
        <v>1860</v>
      </c>
      <c r="F23" s="294">
        <f t="shared" si="0"/>
        <v>3.2619275185675578</v>
      </c>
      <c r="G23" s="218">
        <v>570.21500000000003</v>
      </c>
      <c r="H23" s="218" t="s">
        <v>199</v>
      </c>
      <c r="I23" s="218" t="s">
        <v>200</v>
      </c>
      <c r="J23" s="77" t="s">
        <v>100</v>
      </c>
      <c r="K23" s="218" t="s">
        <v>159</v>
      </c>
      <c r="L23" s="77" t="s">
        <v>160</v>
      </c>
      <c r="M23" s="77"/>
      <c r="N23" s="77"/>
    </row>
    <row r="24" spans="1:14" ht="15.65" customHeight="1">
      <c r="A24" s="217">
        <v>45665</v>
      </c>
      <c r="B24" s="218" t="s">
        <v>201</v>
      </c>
      <c r="C24" s="218" t="s">
        <v>202</v>
      </c>
      <c r="D24" s="218" t="s">
        <v>120</v>
      </c>
      <c r="E24" s="218">
        <v>7000</v>
      </c>
      <c r="F24" s="294">
        <f t="shared" si="0"/>
        <v>12.276071306437045</v>
      </c>
      <c r="G24" s="218">
        <v>570.21500000000003</v>
      </c>
      <c r="H24" s="218" t="s">
        <v>203</v>
      </c>
      <c r="I24" s="218" t="s">
        <v>204</v>
      </c>
      <c r="J24" s="77" t="s">
        <v>100</v>
      </c>
      <c r="K24" s="218" t="s">
        <v>159</v>
      </c>
      <c r="L24" s="77" t="s">
        <v>160</v>
      </c>
      <c r="M24" s="77"/>
      <c r="N24" s="77"/>
    </row>
    <row r="25" spans="1:14" ht="15.65" customHeight="1">
      <c r="A25" s="217">
        <v>45666</v>
      </c>
      <c r="B25" s="218" t="s">
        <v>205</v>
      </c>
      <c r="C25" s="218" t="s">
        <v>179</v>
      </c>
      <c r="D25" s="218" t="s">
        <v>206</v>
      </c>
      <c r="E25" s="218">
        <v>7000</v>
      </c>
      <c r="F25" s="294">
        <f t="shared" si="0"/>
        <v>12.276071306437045</v>
      </c>
      <c r="G25" s="218">
        <v>570.21500000000003</v>
      </c>
      <c r="H25" s="218" t="s">
        <v>207</v>
      </c>
      <c r="I25" s="218" t="s">
        <v>208</v>
      </c>
      <c r="J25" s="77" t="s">
        <v>100</v>
      </c>
      <c r="K25" s="218" t="s">
        <v>159</v>
      </c>
      <c r="L25" s="77" t="s">
        <v>160</v>
      </c>
      <c r="M25" s="77"/>
      <c r="N25" s="77"/>
    </row>
    <row r="26" spans="1:14" ht="15.65" customHeight="1">
      <c r="A26" s="217">
        <v>45666</v>
      </c>
      <c r="B26" s="218" t="s">
        <v>1047</v>
      </c>
      <c r="C26" s="218" t="s">
        <v>183</v>
      </c>
      <c r="D26" s="218" t="s">
        <v>124</v>
      </c>
      <c r="E26" s="218">
        <v>80000</v>
      </c>
      <c r="F26" s="294">
        <f t="shared" si="0"/>
        <v>140.29795778785194</v>
      </c>
      <c r="G26" s="218">
        <v>570.21500000000003</v>
      </c>
      <c r="H26" s="218" t="s">
        <v>190</v>
      </c>
      <c r="I26" s="218" t="s">
        <v>210</v>
      </c>
      <c r="J26" s="77" t="s">
        <v>100</v>
      </c>
      <c r="K26" s="218" t="s">
        <v>159</v>
      </c>
      <c r="L26" s="77" t="s">
        <v>160</v>
      </c>
      <c r="M26" s="77"/>
      <c r="N26" s="77"/>
    </row>
    <row r="27" spans="1:14" ht="15.65" customHeight="1">
      <c r="A27" s="217">
        <v>45666</v>
      </c>
      <c r="B27" s="218" t="s">
        <v>211</v>
      </c>
      <c r="C27" s="218" t="s">
        <v>183</v>
      </c>
      <c r="D27" s="218" t="s">
        <v>120</v>
      </c>
      <c r="E27" s="218">
        <v>160000</v>
      </c>
      <c r="F27" s="294">
        <f t="shared" si="0"/>
        <v>280.59591557570388</v>
      </c>
      <c r="G27" s="218">
        <v>570.21500000000003</v>
      </c>
      <c r="H27" s="218" t="s">
        <v>193</v>
      </c>
      <c r="I27" s="218" t="s">
        <v>212</v>
      </c>
      <c r="J27" s="77" t="s">
        <v>100</v>
      </c>
      <c r="K27" s="218" t="s">
        <v>159</v>
      </c>
      <c r="L27" s="77" t="s">
        <v>160</v>
      </c>
      <c r="M27" s="77"/>
      <c r="N27" s="77"/>
    </row>
    <row r="28" spans="1:14" ht="15.65" customHeight="1">
      <c r="A28" s="217">
        <v>45666</v>
      </c>
      <c r="B28" s="218" t="s">
        <v>213</v>
      </c>
      <c r="C28" s="218" t="s">
        <v>183</v>
      </c>
      <c r="D28" s="218" t="s">
        <v>120</v>
      </c>
      <c r="E28" s="218">
        <v>80000</v>
      </c>
      <c r="F28" s="294">
        <f t="shared" si="0"/>
        <v>140.29795778785194</v>
      </c>
      <c r="G28" s="218">
        <v>570.21500000000003</v>
      </c>
      <c r="H28" s="218" t="s">
        <v>196</v>
      </c>
      <c r="I28" s="218" t="s">
        <v>214</v>
      </c>
      <c r="J28" s="77" t="s">
        <v>100</v>
      </c>
      <c r="K28" s="218" t="s">
        <v>159</v>
      </c>
      <c r="L28" s="77" t="s">
        <v>160</v>
      </c>
      <c r="M28" s="77"/>
      <c r="N28" s="77"/>
    </row>
    <row r="29" spans="1:14" ht="15.65" customHeight="1">
      <c r="A29" s="217">
        <v>45666</v>
      </c>
      <c r="B29" s="218" t="s">
        <v>215</v>
      </c>
      <c r="C29" s="218" t="s">
        <v>188</v>
      </c>
      <c r="D29" s="218" t="s">
        <v>121</v>
      </c>
      <c r="E29" s="218">
        <v>32070</v>
      </c>
      <c r="F29" s="294">
        <f t="shared" si="0"/>
        <v>56.241943828205144</v>
      </c>
      <c r="G29" s="218">
        <v>570.21500000000003</v>
      </c>
      <c r="H29" s="218" t="s">
        <v>199</v>
      </c>
      <c r="I29" s="218" t="s">
        <v>216</v>
      </c>
      <c r="J29" s="77" t="s">
        <v>100</v>
      </c>
      <c r="K29" s="218" t="s">
        <v>159</v>
      </c>
      <c r="L29" s="77" t="s">
        <v>160</v>
      </c>
      <c r="M29" s="77"/>
      <c r="N29" s="77"/>
    </row>
    <row r="30" spans="1:14" ht="15.65" customHeight="1">
      <c r="A30" s="217">
        <v>45666</v>
      </c>
      <c r="B30" s="218" t="s">
        <v>217</v>
      </c>
      <c r="C30" s="218" t="s">
        <v>183</v>
      </c>
      <c r="D30" s="218" t="s">
        <v>120</v>
      </c>
      <c r="E30" s="218">
        <v>100000</v>
      </c>
      <c r="F30" s="294">
        <f t="shared" si="0"/>
        <v>175.37244723481493</v>
      </c>
      <c r="G30" s="218">
        <v>570.21500000000003</v>
      </c>
      <c r="H30" s="218" t="s">
        <v>203</v>
      </c>
      <c r="I30" s="218" t="s">
        <v>218</v>
      </c>
      <c r="J30" s="77" t="s">
        <v>100</v>
      </c>
      <c r="K30" s="218" t="s">
        <v>159</v>
      </c>
      <c r="L30" s="77" t="s">
        <v>160</v>
      </c>
      <c r="M30" s="77"/>
      <c r="N30" s="77"/>
    </row>
    <row r="31" spans="1:14" ht="15.65" customHeight="1">
      <c r="A31" s="217">
        <v>45666</v>
      </c>
      <c r="B31" s="218" t="s">
        <v>219</v>
      </c>
      <c r="C31" s="218" t="s">
        <v>179</v>
      </c>
      <c r="D31" s="218" t="s">
        <v>123</v>
      </c>
      <c r="E31" s="218">
        <v>7000</v>
      </c>
      <c r="F31" s="294">
        <f t="shared" si="0"/>
        <v>12.276071306437045</v>
      </c>
      <c r="G31" s="218">
        <v>570.21500000000003</v>
      </c>
      <c r="H31" s="218" t="s">
        <v>220</v>
      </c>
      <c r="I31" s="218" t="s">
        <v>221</v>
      </c>
      <c r="J31" s="77" t="s">
        <v>100</v>
      </c>
      <c r="K31" s="218" t="s">
        <v>159</v>
      </c>
      <c r="L31" s="77" t="s">
        <v>160</v>
      </c>
      <c r="M31" s="77"/>
      <c r="N31" s="77"/>
    </row>
    <row r="32" spans="1:14" ht="15.65" customHeight="1">
      <c r="A32" s="217">
        <v>45667</v>
      </c>
      <c r="B32" s="218" t="s">
        <v>222</v>
      </c>
      <c r="C32" s="218" t="s">
        <v>183</v>
      </c>
      <c r="D32" s="218" t="s">
        <v>120</v>
      </c>
      <c r="E32" s="218">
        <v>150000</v>
      </c>
      <c r="F32" s="294">
        <f t="shared" si="0"/>
        <v>263.05867085222241</v>
      </c>
      <c r="G32" s="218">
        <v>570.21500000000003</v>
      </c>
      <c r="H32" s="218" t="s">
        <v>207</v>
      </c>
      <c r="I32" s="218" t="s">
        <v>223</v>
      </c>
      <c r="J32" s="77" t="s">
        <v>100</v>
      </c>
      <c r="K32" s="218" t="s">
        <v>159</v>
      </c>
      <c r="L32" s="77" t="s">
        <v>160</v>
      </c>
      <c r="M32" s="77"/>
      <c r="N32" s="77"/>
    </row>
    <row r="33" spans="1:14" ht="15.65" customHeight="1">
      <c r="A33" s="217">
        <v>45667</v>
      </c>
      <c r="B33" s="218" t="s">
        <v>225</v>
      </c>
      <c r="C33" s="218" t="s">
        <v>129</v>
      </c>
      <c r="D33" s="218" t="s">
        <v>121</v>
      </c>
      <c r="E33" s="218">
        <v>59466</v>
      </c>
      <c r="F33" s="294">
        <f t="shared" si="0"/>
        <v>104.28697947265505</v>
      </c>
      <c r="G33" s="218">
        <v>570.21500000000003</v>
      </c>
      <c r="H33" s="218" t="s">
        <v>199</v>
      </c>
      <c r="I33" s="218" t="s">
        <v>226</v>
      </c>
      <c r="J33" s="77" t="s">
        <v>100</v>
      </c>
      <c r="K33" s="218" t="s">
        <v>159</v>
      </c>
      <c r="L33" s="77" t="s">
        <v>160</v>
      </c>
      <c r="M33" s="77"/>
      <c r="N33" s="77"/>
    </row>
    <row r="34" spans="1:14" ht="15.65" customHeight="1">
      <c r="A34" s="217">
        <v>45667</v>
      </c>
      <c r="B34" s="218" t="s">
        <v>227</v>
      </c>
      <c r="C34" s="218" t="s">
        <v>183</v>
      </c>
      <c r="D34" s="218" t="s">
        <v>123</v>
      </c>
      <c r="E34" s="218">
        <v>70000</v>
      </c>
      <c r="F34" s="294">
        <f t="shared" ref="F34:F65" si="1">+E34/G34</f>
        <v>122.76071306437045</v>
      </c>
      <c r="G34" s="218">
        <v>570.21500000000003</v>
      </c>
      <c r="H34" s="218" t="s">
        <v>220</v>
      </c>
      <c r="I34" s="218" t="s">
        <v>228</v>
      </c>
      <c r="J34" s="77" t="s">
        <v>100</v>
      </c>
      <c r="K34" s="218" t="s">
        <v>159</v>
      </c>
      <c r="L34" s="77" t="s">
        <v>160</v>
      </c>
      <c r="M34" s="77"/>
      <c r="N34" s="77"/>
    </row>
    <row r="35" spans="1:14" ht="15.65" customHeight="1">
      <c r="A35" s="217">
        <v>45670</v>
      </c>
      <c r="B35" s="218" t="s">
        <v>229</v>
      </c>
      <c r="C35" s="218" t="s">
        <v>183</v>
      </c>
      <c r="D35" s="218" t="s">
        <v>206</v>
      </c>
      <c r="E35" s="218">
        <v>45000</v>
      </c>
      <c r="F35" s="294">
        <f t="shared" si="1"/>
        <v>78.917601255666725</v>
      </c>
      <c r="G35" s="218">
        <v>570.21500000000003</v>
      </c>
      <c r="H35" s="218" t="s">
        <v>207</v>
      </c>
      <c r="I35" s="218" t="s">
        <v>230</v>
      </c>
      <c r="J35" s="77" t="s">
        <v>100</v>
      </c>
      <c r="K35" s="218" t="s">
        <v>159</v>
      </c>
      <c r="L35" s="77" t="s">
        <v>160</v>
      </c>
      <c r="M35" s="77"/>
      <c r="N35" s="77"/>
    </row>
    <row r="36" spans="1:14" ht="15.65" customHeight="1">
      <c r="A36" s="217">
        <v>45670</v>
      </c>
      <c r="B36" s="218" t="s">
        <v>1023</v>
      </c>
      <c r="C36" s="218" t="s">
        <v>183</v>
      </c>
      <c r="D36" s="218" t="s">
        <v>124</v>
      </c>
      <c r="E36" s="218">
        <v>60000</v>
      </c>
      <c r="F36" s="294">
        <f t="shared" si="1"/>
        <v>105.22346834088896</v>
      </c>
      <c r="G36" s="218">
        <v>570.21500000000003</v>
      </c>
      <c r="H36" s="218" t="s">
        <v>190</v>
      </c>
      <c r="I36" s="218" t="s">
        <v>231</v>
      </c>
      <c r="J36" s="77" t="s">
        <v>100</v>
      </c>
      <c r="K36" s="218" t="s">
        <v>159</v>
      </c>
      <c r="L36" s="77" t="s">
        <v>160</v>
      </c>
      <c r="M36" s="77"/>
      <c r="N36" s="77"/>
    </row>
    <row r="37" spans="1:14" ht="15.65" customHeight="1">
      <c r="A37" s="217">
        <v>45670</v>
      </c>
      <c r="B37" s="218" t="s">
        <v>198</v>
      </c>
      <c r="C37" s="218" t="s">
        <v>188</v>
      </c>
      <c r="D37" s="218" t="s">
        <v>121</v>
      </c>
      <c r="E37" s="218">
        <v>1000</v>
      </c>
      <c r="F37" s="294">
        <f t="shared" si="1"/>
        <v>1.7537244723481493</v>
      </c>
      <c r="G37" s="218">
        <v>570.21500000000003</v>
      </c>
      <c r="H37" s="218" t="s">
        <v>199</v>
      </c>
      <c r="I37" s="218" t="s">
        <v>232</v>
      </c>
      <c r="J37" s="77" t="s">
        <v>100</v>
      </c>
      <c r="K37" s="218" t="s">
        <v>159</v>
      </c>
      <c r="L37" s="77" t="s">
        <v>160</v>
      </c>
      <c r="M37" s="77"/>
      <c r="N37" s="77"/>
    </row>
    <row r="38" spans="1:14" ht="15.65" customHeight="1">
      <c r="A38" s="217">
        <v>45671</v>
      </c>
      <c r="B38" s="218" t="s">
        <v>499</v>
      </c>
      <c r="C38" s="218" t="s">
        <v>183</v>
      </c>
      <c r="D38" s="218" t="s">
        <v>122</v>
      </c>
      <c r="E38" s="218">
        <v>245000</v>
      </c>
      <c r="F38" s="294">
        <f t="shared" si="1"/>
        <v>429.66249572529659</v>
      </c>
      <c r="G38" s="218">
        <v>570.21500000000003</v>
      </c>
      <c r="H38" s="218" t="s">
        <v>196</v>
      </c>
      <c r="I38" s="218" t="s">
        <v>224</v>
      </c>
      <c r="J38" s="77" t="s">
        <v>100</v>
      </c>
      <c r="K38" s="218" t="s">
        <v>159</v>
      </c>
      <c r="L38" s="77" t="s">
        <v>160</v>
      </c>
      <c r="M38" s="77"/>
      <c r="N38" s="77"/>
    </row>
    <row r="39" spans="1:14" ht="15.65" customHeight="1">
      <c r="A39" s="217">
        <v>45671</v>
      </c>
      <c r="B39" s="218" t="s">
        <v>233</v>
      </c>
      <c r="C39" s="218" t="s">
        <v>188</v>
      </c>
      <c r="D39" s="218" t="s">
        <v>121</v>
      </c>
      <c r="E39" s="218">
        <v>8100</v>
      </c>
      <c r="F39" s="294">
        <f t="shared" si="1"/>
        <v>14.205168226020009</v>
      </c>
      <c r="G39" s="218">
        <v>570.21500000000003</v>
      </c>
      <c r="H39" s="218" t="s">
        <v>199</v>
      </c>
      <c r="I39" s="218" t="s">
        <v>234</v>
      </c>
      <c r="J39" s="77" t="s">
        <v>100</v>
      </c>
      <c r="K39" s="218" t="s">
        <v>159</v>
      </c>
      <c r="L39" s="77" t="s">
        <v>160</v>
      </c>
      <c r="M39" s="77"/>
      <c r="N39" s="77"/>
    </row>
    <row r="40" spans="1:14" ht="15.65" customHeight="1">
      <c r="A40" s="217">
        <v>45672</v>
      </c>
      <c r="B40" s="218" t="s">
        <v>235</v>
      </c>
      <c r="C40" s="218" t="s">
        <v>183</v>
      </c>
      <c r="D40" s="218" t="s">
        <v>206</v>
      </c>
      <c r="E40" s="218">
        <v>9750</v>
      </c>
      <c r="F40" s="294">
        <f t="shared" si="1"/>
        <v>17.098813605394454</v>
      </c>
      <c r="G40" s="218">
        <v>570.21500000000003</v>
      </c>
      <c r="H40" s="218" t="s">
        <v>207</v>
      </c>
      <c r="I40" s="218" t="s">
        <v>236</v>
      </c>
      <c r="J40" s="77" t="s">
        <v>100</v>
      </c>
      <c r="K40" s="218" t="s">
        <v>159</v>
      </c>
      <c r="L40" s="77" t="s">
        <v>160</v>
      </c>
      <c r="M40" s="77"/>
      <c r="N40" s="77"/>
    </row>
    <row r="41" spans="1:14" ht="15.65" customHeight="1">
      <c r="A41" s="217">
        <v>45672</v>
      </c>
      <c r="B41" s="218" t="s">
        <v>237</v>
      </c>
      <c r="C41" s="218" t="s">
        <v>156</v>
      </c>
      <c r="D41" s="218" t="s">
        <v>122</v>
      </c>
      <c r="E41" s="218">
        <v>31000</v>
      </c>
      <c r="F41" s="294">
        <f t="shared" si="1"/>
        <v>54.365458642792625</v>
      </c>
      <c r="G41" s="218">
        <v>570.21500000000003</v>
      </c>
      <c r="H41" s="218" t="s">
        <v>162</v>
      </c>
      <c r="I41" s="218" t="s">
        <v>238</v>
      </c>
      <c r="J41" s="77" t="s">
        <v>100</v>
      </c>
      <c r="K41" s="218" t="s">
        <v>159</v>
      </c>
      <c r="L41" s="77" t="s">
        <v>160</v>
      </c>
      <c r="M41" s="77"/>
      <c r="N41" s="77"/>
    </row>
    <row r="42" spans="1:14" ht="15.65" customHeight="1">
      <c r="A42" s="217">
        <v>45672</v>
      </c>
      <c r="B42" s="218" t="s">
        <v>239</v>
      </c>
      <c r="C42" s="218" t="s">
        <v>156</v>
      </c>
      <c r="D42" s="218" t="s">
        <v>120</v>
      </c>
      <c r="E42" s="218">
        <v>35000</v>
      </c>
      <c r="F42" s="294">
        <f t="shared" si="1"/>
        <v>61.380356532185225</v>
      </c>
      <c r="G42" s="218">
        <v>570.21500000000003</v>
      </c>
      <c r="H42" s="218" t="s">
        <v>162</v>
      </c>
      <c r="I42" s="218" t="s">
        <v>240</v>
      </c>
      <c r="J42" s="77" t="s">
        <v>100</v>
      </c>
      <c r="K42" s="218" t="s">
        <v>159</v>
      </c>
      <c r="L42" s="77" t="s">
        <v>160</v>
      </c>
      <c r="M42" s="77"/>
      <c r="N42" s="77"/>
    </row>
    <row r="43" spans="1:14" ht="15.65" customHeight="1">
      <c r="A43" s="217">
        <v>45672</v>
      </c>
      <c r="B43" s="218" t="s">
        <v>241</v>
      </c>
      <c r="C43" s="218" t="s">
        <v>156</v>
      </c>
      <c r="D43" s="218" t="s">
        <v>124</v>
      </c>
      <c r="E43" s="218">
        <v>50000</v>
      </c>
      <c r="F43" s="294">
        <f t="shared" si="1"/>
        <v>87.686223617407464</v>
      </c>
      <c r="G43" s="218">
        <v>570.21500000000003</v>
      </c>
      <c r="H43" s="218" t="s">
        <v>162</v>
      </c>
      <c r="I43" s="218" t="s">
        <v>242</v>
      </c>
      <c r="J43" s="77" t="s">
        <v>100</v>
      </c>
      <c r="K43" s="218" t="s">
        <v>159</v>
      </c>
      <c r="L43" s="77" t="s">
        <v>160</v>
      </c>
      <c r="M43" s="77"/>
      <c r="N43" s="77"/>
    </row>
    <row r="44" spans="1:14" ht="15.65" customHeight="1">
      <c r="A44" s="217">
        <v>45672</v>
      </c>
      <c r="B44" s="218" t="s">
        <v>243</v>
      </c>
      <c r="C44" s="218" t="s">
        <v>156</v>
      </c>
      <c r="D44" s="218" t="s">
        <v>123</v>
      </c>
      <c r="E44" s="218">
        <v>10000</v>
      </c>
      <c r="F44" s="294">
        <f t="shared" si="1"/>
        <v>17.537244723481493</v>
      </c>
      <c r="G44" s="218">
        <v>570.21500000000003</v>
      </c>
      <c r="H44" s="218" t="s">
        <v>162</v>
      </c>
      <c r="I44" s="218" t="s">
        <v>244</v>
      </c>
      <c r="J44" s="77" t="s">
        <v>100</v>
      </c>
      <c r="K44" s="218" t="s">
        <v>159</v>
      </c>
      <c r="L44" s="77" t="s">
        <v>160</v>
      </c>
      <c r="M44" s="77"/>
      <c r="N44" s="77"/>
    </row>
    <row r="45" spans="1:14" ht="15.65" customHeight="1">
      <c r="A45" s="217">
        <v>45672</v>
      </c>
      <c r="B45" s="218" t="s">
        <v>245</v>
      </c>
      <c r="C45" s="218" t="s">
        <v>156</v>
      </c>
      <c r="D45" s="218" t="s">
        <v>120</v>
      </c>
      <c r="E45" s="218">
        <v>10000</v>
      </c>
      <c r="F45" s="294">
        <f t="shared" si="1"/>
        <v>17.537244723481493</v>
      </c>
      <c r="G45" s="218">
        <v>570.21500000000003</v>
      </c>
      <c r="H45" s="218" t="s">
        <v>162</v>
      </c>
      <c r="I45" s="218" t="s">
        <v>246</v>
      </c>
      <c r="J45" s="77" t="s">
        <v>100</v>
      </c>
      <c r="K45" s="218" t="s">
        <v>159</v>
      </c>
      <c r="L45" s="77" t="s">
        <v>160</v>
      </c>
      <c r="M45" s="77"/>
      <c r="N45" s="77"/>
    </row>
    <row r="46" spans="1:14" ht="15.65" customHeight="1">
      <c r="A46" s="217">
        <v>45672</v>
      </c>
      <c r="B46" s="218" t="s">
        <v>247</v>
      </c>
      <c r="C46" s="218" t="s">
        <v>156</v>
      </c>
      <c r="D46" s="218" t="s">
        <v>124</v>
      </c>
      <c r="E46" s="218">
        <v>5000</v>
      </c>
      <c r="F46" s="294">
        <f t="shared" si="1"/>
        <v>8.7686223617407464</v>
      </c>
      <c r="G46" s="218">
        <v>570.21500000000003</v>
      </c>
      <c r="H46" s="218" t="s">
        <v>162</v>
      </c>
      <c r="I46" s="218" t="s">
        <v>248</v>
      </c>
      <c r="J46" s="77" t="s">
        <v>100</v>
      </c>
      <c r="K46" s="218" t="s">
        <v>159</v>
      </c>
      <c r="L46" s="77" t="s">
        <v>160</v>
      </c>
      <c r="M46" s="77"/>
      <c r="N46" s="77"/>
    </row>
    <row r="47" spans="1:14" ht="15.65" customHeight="1">
      <c r="A47" s="217">
        <v>45672</v>
      </c>
      <c r="B47" s="218" t="s">
        <v>1020</v>
      </c>
      <c r="C47" s="218" t="s">
        <v>179</v>
      </c>
      <c r="D47" s="218" t="s">
        <v>124</v>
      </c>
      <c r="E47" s="218">
        <v>50000</v>
      </c>
      <c r="F47" s="294">
        <f t="shared" si="1"/>
        <v>87.686223617407464</v>
      </c>
      <c r="G47" s="218">
        <v>570.21500000000003</v>
      </c>
      <c r="H47" s="218" t="s">
        <v>190</v>
      </c>
      <c r="I47" s="218" t="s">
        <v>249</v>
      </c>
      <c r="J47" s="77" t="s">
        <v>100</v>
      </c>
      <c r="K47" s="218" t="s">
        <v>159</v>
      </c>
      <c r="L47" s="77" t="s">
        <v>160</v>
      </c>
      <c r="M47" s="77"/>
      <c r="N47" s="77"/>
    </row>
    <row r="48" spans="1:14" ht="15.65" customHeight="1">
      <c r="A48" s="217">
        <v>45672</v>
      </c>
      <c r="B48" s="218" t="s">
        <v>1024</v>
      </c>
      <c r="C48" s="218" t="s">
        <v>183</v>
      </c>
      <c r="D48" s="218" t="s">
        <v>180</v>
      </c>
      <c r="E48" s="218">
        <v>120000</v>
      </c>
      <c r="F48" s="294">
        <f t="shared" si="1"/>
        <v>210.44693668177791</v>
      </c>
      <c r="G48" s="218">
        <v>570.21500000000003</v>
      </c>
      <c r="H48" s="218" t="s">
        <v>181</v>
      </c>
      <c r="I48" s="218" t="s">
        <v>250</v>
      </c>
      <c r="J48" s="77" t="s">
        <v>100</v>
      </c>
      <c r="K48" s="218" t="s">
        <v>159</v>
      </c>
      <c r="L48" s="77" t="s">
        <v>160</v>
      </c>
      <c r="M48" s="77"/>
      <c r="N48" s="77"/>
    </row>
    <row r="49" spans="1:14" ht="15.65" customHeight="1">
      <c r="A49" s="217">
        <v>45672</v>
      </c>
      <c r="B49" s="218" t="s">
        <v>251</v>
      </c>
      <c r="C49" s="218" t="s">
        <v>179</v>
      </c>
      <c r="D49" s="218" t="s">
        <v>206</v>
      </c>
      <c r="E49" s="218">
        <v>8500</v>
      </c>
      <c r="F49" s="294">
        <f t="shared" si="1"/>
        <v>14.90665801495927</v>
      </c>
      <c r="G49" s="218">
        <v>570.21500000000003</v>
      </c>
      <c r="H49" s="218" t="s">
        <v>193</v>
      </c>
      <c r="I49" s="218" t="s">
        <v>252</v>
      </c>
      <c r="J49" s="77" t="s">
        <v>100</v>
      </c>
      <c r="K49" s="218" t="s">
        <v>159</v>
      </c>
      <c r="L49" s="77" t="s">
        <v>160</v>
      </c>
      <c r="M49" s="77"/>
      <c r="N49" s="77"/>
    </row>
    <row r="50" spans="1:14" ht="15.65" customHeight="1">
      <c r="A50" s="217">
        <v>45672</v>
      </c>
      <c r="B50" s="218" t="s">
        <v>251</v>
      </c>
      <c r="C50" s="218" t="s">
        <v>179</v>
      </c>
      <c r="D50" s="218" t="s">
        <v>206</v>
      </c>
      <c r="E50" s="218">
        <v>8500</v>
      </c>
      <c r="F50" s="294">
        <f t="shared" si="1"/>
        <v>14.90665801495927</v>
      </c>
      <c r="G50" s="218">
        <v>570.21500000000003</v>
      </c>
      <c r="H50" s="218" t="s">
        <v>193</v>
      </c>
      <c r="I50" s="218" t="s">
        <v>253</v>
      </c>
      <c r="J50" s="77" t="s">
        <v>100</v>
      </c>
      <c r="K50" s="218" t="s">
        <v>159</v>
      </c>
      <c r="L50" s="77" t="s">
        <v>160</v>
      </c>
      <c r="M50" s="77"/>
      <c r="N50" s="77"/>
    </row>
    <row r="51" spans="1:14" ht="15.65" customHeight="1">
      <c r="A51" s="217">
        <v>45672</v>
      </c>
      <c r="B51" s="218" t="s">
        <v>254</v>
      </c>
      <c r="C51" s="218" t="s">
        <v>183</v>
      </c>
      <c r="D51" s="218" t="s">
        <v>206</v>
      </c>
      <c r="E51" s="218">
        <v>10100</v>
      </c>
      <c r="F51" s="294">
        <f t="shared" si="1"/>
        <v>17.712617170716307</v>
      </c>
      <c r="G51" s="218">
        <v>570.21500000000003</v>
      </c>
      <c r="H51" s="218" t="s">
        <v>193</v>
      </c>
      <c r="I51" s="218" t="s">
        <v>255</v>
      </c>
      <c r="J51" s="77" t="s">
        <v>100</v>
      </c>
      <c r="K51" s="218" t="s">
        <v>159</v>
      </c>
      <c r="L51" s="77" t="s">
        <v>160</v>
      </c>
      <c r="M51" s="77"/>
      <c r="N51" s="77"/>
    </row>
    <row r="52" spans="1:14" ht="15.65" customHeight="1">
      <c r="A52" s="217">
        <v>45672</v>
      </c>
      <c r="B52" s="218" t="s">
        <v>256</v>
      </c>
      <c r="C52" s="218" t="s">
        <v>183</v>
      </c>
      <c r="D52" s="218" t="s">
        <v>120</v>
      </c>
      <c r="E52" s="218">
        <v>90000</v>
      </c>
      <c r="F52" s="294">
        <f t="shared" si="1"/>
        <v>157.83520251133345</v>
      </c>
      <c r="G52" s="218">
        <v>570.21500000000003</v>
      </c>
      <c r="H52" s="218" t="s">
        <v>196</v>
      </c>
      <c r="I52" s="218" t="s">
        <v>257</v>
      </c>
      <c r="J52" s="77" t="s">
        <v>100</v>
      </c>
      <c r="K52" s="218" t="s">
        <v>159</v>
      </c>
      <c r="L52" s="77" t="s">
        <v>160</v>
      </c>
      <c r="M52" s="77"/>
      <c r="N52" s="77"/>
    </row>
    <row r="53" spans="1:14" ht="15.65" customHeight="1">
      <c r="A53" s="217">
        <v>45672</v>
      </c>
      <c r="B53" s="218" t="s">
        <v>258</v>
      </c>
      <c r="C53" s="218" t="s">
        <v>183</v>
      </c>
      <c r="D53" s="218" t="s">
        <v>206</v>
      </c>
      <c r="E53" s="218">
        <v>9600</v>
      </c>
      <c r="F53" s="294">
        <f t="shared" si="1"/>
        <v>16.835754934542233</v>
      </c>
      <c r="G53" s="218">
        <v>570.21500000000003</v>
      </c>
      <c r="H53" s="218" t="s">
        <v>196</v>
      </c>
      <c r="I53" s="218" t="s">
        <v>259</v>
      </c>
      <c r="J53" s="77" t="s">
        <v>100</v>
      </c>
      <c r="K53" s="218" t="s">
        <v>159</v>
      </c>
      <c r="L53" s="77" t="s">
        <v>160</v>
      </c>
      <c r="M53" s="77"/>
      <c r="N53" s="77"/>
    </row>
    <row r="54" spans="1:14" ht="15.65" customHeight="1">
      <c r="A54" s="217">
        <v>45672</v>
      </c>
      <c r="B54" s="218" t="s">
        <v>260</v>
      </c>
      <c r="C54" s="218" t="s">
        <v>179</v>
      </c>
      <c r="D54" s="218" t="s">
        <v>120</v>
      </c>
      <c r="E54" s="218">
        <v>8000</v>
      </c>
      <c r="F54" s="294">
        <f t="shared" si="1"/>
        <v>14.029795778785195</v>
      </c>
      <c r="G54" s="218">
        <v>570.21500000000003</v>
      </c>
      <c r="H54" s="218" t="s">
        <v>199</v>
      </c>
      <c r="I54" s="218" t="s">
        <v>261</v>
      </c>
      <c r="J54" s="77" t="s">
        <v>100</v>
      </c>
      <c r="K54" s="218" t="s">
        <v>159</v>
      </c>
      <c r="L54" s="77" t="s">
        <v>160</v>
      </c>
      <c r="M54" s="77"/>
      <c r="N54" s="77"/>
    </row>
    <row r="55" spans="1:14" ht="15.65" customHeight="1">
      <c r="A55" s="217">
        <v>45672</v>
      </c>
      <c r="B55" s="218" t="s">
        <v>262</v>
      </c>
      <c r="C55" s="218" t="s">
        <v>263</v>
      </c>
      <c r="D55" s="218" t="s">
        <v>120</v>
      </c>
      <c r="E55" s="218">
        <v>72000</v>
      </c>
      <c r="F55" s="294">
        <f t="shared" si="1"/>
        <v>126.26816200906674</v>
      </c>
      <c r="G55" s="218">
        <v>570.21500000000003</v>
      </c>
      <c r="H55" s="218" t="s">
        <v>199</v>
      </c>
      <c r="I55" s="218" t="s">
        <v>264</v>
      </c>
      <c r="J55" s="77" t="s">
        <v>100</v>
      </c>
      <c r="K55" s="218" t="s">
        <v>159</v>
      </c>
      <c r="L55" s="77" t="s">
        <v>160</v>
      </c>
      <c r="M55" s="77"/>
      <c r="N55" s="77"/>
    </row>
    <row r="56" spans="1:14" ht="15.65" customHeight="1">
      <c r="A56" s="217">
        <v>45672</v>
      </c>
      <c r="B56" s="218" t="s">
        <v>265</v>
      </c>
      <c r="C56" s="218" t="s">
        <v>202</v>
      </c>
      <c r="D56" s="218" t="s">
        <v>206</v>
      </c>
      <c r="E56" s="218">
        <v>25000</v>
      </c>
      <c r="F56" s="294">
        <f t="shared" si="1"/>
        <v>43.843111808703732</v>
      </c>
      <c r="G56" s="218">
        <v>570.21500000000003</v>
      </c>
      <c r="H56" s="218" t="s">
        <v>203</v>
      </c>
      <c r="I56" s="218" t="s">
        <v>266</v>
      </c>
      <c r="J56" s="77" t="s">
        <v>100</v>
      </c>
      <c r="K56" s="218" t="s">
        <v>159</v>
      </c>
      <c r="L56" s="77" t="s">
        <v>160</v>
      </c>
      <c r="M56" s="77"/>
      <c r="N56" s="77"/>
    </row>
    <row r="57" spans="1:14" ht="15.65" customHeight="1">
      <c r="A57" s="217">
        <v>45672</v>
      </c>
      <c r="B57" s="218" t="s">
        <v>267</v>
      </c>
      <c r="C57" s="218" t="s">
        <v>183</v>
      </c>
      <c r="D57" s="218" t="s">
        <v>206</v>
      </c>
      <c r="E57" s="218">
        <v>19600</v>
      </c>
      <c r="F57" s="294">
        <f t="shared" si="1"/>
        <v>34.372999658023723</v>
      </c>
      <c r="G57" s="218">
        <v>570.21500000000003</v>
      </c>
      <c r="H57" s="218" t="s">
        <v>203</v>
      </c>
      <c r="I57" s="218" t="s">
        <v>268</v>
      </c>
      <c r="J57" s="77" t="s">
        <v>100</v>
      </c>
      <c r="K57" s="218" t="s">
        <v>159</v>
      </c>
      <c r="L57" s="77" t="s">
        <v>160</v>
      </c>
      <c r="M57" s="77"/>
      <c r="N57" s="77"/>
    </row>
    <row r="58" spans="1:14" ht="15.65" customHeight="1">
      <c r="A58" s="217">
        <v>45672</v>
      </c>
      <c r="B58" s="218" t="s">
        <v>269</v>
      </c>
      <c r="C58" s="218" t="s">
        <v>183</v>
      </c>
      <c r="D58" s="218" t="s">
        <v>206</v>
      </c>
      <c r="E58" s="218">
        <v>9700</v>
      </c>
      <c r="F58" s="294">
        <f t="shared" si="1"/>
        <v>17.011127381777047</v>
      </c>
      <c r="G58" s="218">
        <v>570.21500000000003</v>
      </c>
      <c r="H58" s="218" t="s">
        <v>220</v>
      </c>
      <c r="I58" s="218" t="s">
        <v>270</v>
      </c>
      <c r="J58" s="77" t="s">
        <v>100</v>
      </c>
      <c r="K58" s="218" t="s">
        <v>159</v>
      </c>
      <c r="L58" s="77" t="s">
        <v>160</v>
      </c>
      <c r="M58" s="77"/>
      <c r="N58" s="77"/>
    </row>
    <row r="59" spans="1:14" ht="15.65" customHeight="1">
      <c r="A59" s="217">
        <v>45673</v>
      </c>
      <c r="B59" s="218" t="s">
        <v>271</v>
      </c>
      <c r="C59" s="218" t="s">
        <v>272</v>
      </c>
      <c r="D59" s="218" t="s">
        <v>206</v>
      </c>
      <c r="E59" s="218">
        <v>160000</v>
      </c>
      <c r="F59" s="294">
        <f t="shared" si="1"/>
        <v>280.59591557570388</v>
      </c>
      <c r="G59" s="218">
        <v>570.21500000000003</v>
      </c>
      <c r="H59" s="218" t="s">
        <v>207</v>
      </c>
      <c r="I59" s="218" t="s">
        <v>273</v>
      </c>
      <c r="J59" s="77" t="s">
        <v>100</v>
      </c>
      <c r="K59" s="218" t="s">
        <v>159</v>
      </c>
      <c r="L59" s="77" t="s">
        <v>160</v>
      </c>
      <c r="M59" s="77"/>
      <c r="N59" s="77"/>
    </row>
    <row r="60" spans="1:14" ht="15.65" customHeight="1">
      <c r="A60" s="217">
        <v>45673</v>
      </c>
      <c r="B60" s="218" t="s">
        <v>274</v>
      </c>
      <c r="C60" s="218" t="s">
        <v>272</v>
      </c>
      <c r="D60" s="218" t="s">
        <v>206</v>
      </c>
      <c r="E60" s="218">
        <v>20000</v>
      </c>
      <c r="F60" s="294">
        <f t="shared" si="1"/>
        <v>35.074489446962986</v>
      </c>
      <c r="G60" s="218">
        <v>570.21500000000003</v>
      </c>
      <c r="H60" s="218" t="s">
        <v>207</v>
      </c>
      <c r="I60" s="218" t="s">
        <v>275</v>
      </c>
      <c r="J60" s="77" t="s">
        <v>100</v>
      </c>
      <c r="K60" s="218" t="s">
        <v>159</v>
      </c>
      <c r="L60" s="77" t="s">
        <v>160</v>
      </c>
      <c r="M60" s="77"/>
      <c r="N60" s="77"/>
    </row>
    <row r="61" spans="1:14" ht="15.65" customHeight="1">
      <c r="A61" s="217">
        <v>45673</v>
      </c>
      <c r="B61" s="218" t="s">
        <v>276</v>
      </c>
      <c r="C61" s="218" t="s">
        <v>188</v>
      </c>
      <c r="D61" s="218" t="s">
        <v>121</v>
      </c>
      <c r="E61" s="218">
        <v>6055</v>
      </c>
      <c r="F61" s="294">
        <f t="shared" si="1"/>
        <v>10.618801680068044</v>
      </c>
      <c r="G61" s="218">
        <v>570.21500000000003</v>
      </c>
      <c r="H61" s="218" t="s">
        <v>162</v>
      </c>
      <c r="I61" s="218" t="s">
        <v>277</v>
      </c>
      <c r="J61" s="77" t="s">
        <v>100</v>
      </c>
      <c r="K61" s="218" t="s">
        <v>159</v>
      </c>
      <c r="L61" s="77" t="s">
        <v>160</v>
      </c>
      <c r="M61" s="77"/>
      <c r="N61" s="77"/>
    </row>
    <row r="62" spans="1:14" ht="15.65" customHeight="1">
      <c r="A62" s="217">
        <v>45673</v>
      </c>
      <c r="B62" s="218" t="s">
        <v>278</v>
      </c>
      <c r="C62" s="218" t="s">
        <v>179</v>
      </c>
      <c r="D62" s="218" t="s">
        <v>120</v>
      </c>
      <c r="E62" s="218">
        <v>7000</v>
      </c>
      <c r="F62" s="294">
        <f t="shared" si="1"/>
        <v>12.276071306437045</v>
      </c>
      <c r="G62" s="218">
        <v>570.21500000000003</v>
      </c>
      <c r="H62" s="218" t="s">
        <v>196</v>
      </c>
      <c r="I62" s="218" t="s">
        <v>279</v>
      </c>
      <c r="J62" s="77" t="s">
        <v>100</v>
      </c>
      <c r="K62" s="218" t="s">
        <v>159</v>
      </c>
      <c r="L62" s="77" t="s">
        <v>160</v>
      </c>
      <c r="M62" s="77"/>
      <c r="N62" s="77"/>
    </row>
    <row r="63" spans="1:14" ht="15.65" customHeight="1">
      <c r="A63" s="217">
        <v>45673</v>
      </c>
      <c r="B63" s="218" t="s">
        <v>280</v>
      </c>
      <c r="C63" s="218" t="s">
        <v>183</v>
      </c>
      <c r="D63" s="218" t="s">
        <v>120</v>
      </c>
      <c r="E63" s="218">
        <v>20000</v>
      </c>
      <c r="F63" s="294">
        <f t="shared" si="1"/>
        <v>35.074489446962986</v>
      </c>
      <c r="G63" s="218">
        <v>570.21500000000003</v>
      </c>
      <c r="H63" s="218" t="s">
        <v>199</v>
      </c>
      <c r="I63" s="218" t="s">
        <v>281</v>
      </c>
      <c r="J63" s="77" t="s">
        <v>100</v>
      </c>
      <c r="K63" s="218" t="s">
        <v>159</v>
      </c>
      <c r="L63" s="77" t="s">
        <v>160</v>
      </c>
      <c r="M63" s="77"/>
      <c r="N63" s="77"/>
    </row>
    <row r="64" spans="1:14" ht="15.65" customHeight="1">
      <c r="A64" s="217">
        <v>45673</v>
      </c>
      <c r="B64" s="218" t="s">
        <v>282</v>
      </c>
      <c r="C64" s="218" t="s">
        <v>179</v>
      </c>
      <c r="D64" s="218" t="s">
        <v>123</v>
      </c>
      <c r="E64" s="218">
        <v>7000</v>
      </c>
      <c r="F64" s="294">
        <f t="shared" si="1"/>
        <v>12.276071306437045</v>
      </c>
      <c r="G64" s="218">
        <v>570.21500000000003</v>
      </c>
      <c r="H64" s="218" t="s">
        <v>220</v>
      </c>
      <c r="I64" s="218" t="s">
        <v>283</v>
      </c>
      <c r="J64" s="77" t="s">
        <v>100</v>
      </c>
      <c r="K64" s="218" t="s">
        <v>159</v>
      </c>
      <c r="L64" s="77" t="s">
        <v>160</v>
      </c>
      <c r="M64" s="77"/>
      <c r="N64" s="77"/>
    </row>
    <row r="65" spans="1:14" ht="15.65" customHeight="1">
      <c r="A65" s="217">
        <v>45674</v>
      </c>
      <c r="B65" s="218" t="s">
        <v>284</v>
      </c>
      <c r="C65" s="218" t="s">
        <v>188</v>
      </c>
      <c r="D65" s="218" t="s">
        <v>121</v>
      </c>
      <c r="E65" s="218">
        <v>6720</v>
      </c>
      <c r="F65" s="294">
        <f t="shared" si="1"/>
        <v>11.785028454179564</v>
      </c>
      <c r="G65" s="218">
        <v>570.21500000000003</v>
      </c>
      <c r="H65" s="218" t="s">
        <v>162</v>
      </c>
      <c r="I65" s="218" t="s">
        <v>285</v>
      </c>
      <c r="J65" s="77" t="s">
        <v>100</v>
      </c>
      <c r="K65" s="218" t="s">
        <v>159</v>
      </c>
      <c r="L65" s="77" t="s">
        <v>160</v>
      </c>
      <c r="M65" s="77"/>
      <c r="N65" s="77"/>
    </row>
    <row r="66" spans="1:14" ht="15.65" customHeight="1">
      <c r="A66" s="217">
        <v>45674</v>
      </c>
      <c r="B66" s="218" t="s">
        <v>286</v>
      </c>
      <c r="C66" s="218" t="s">
        <v>263</v>
      </c>
      <c r="D66" s="218" t="s">
        <v>120</v>
      </c>
      <c r="E66" s="218">
        <v>176000</v>
      </c>
      <c r="F66" s="294">
        <f t="shared" ref="F66:F97" si="2">+E66/G66</f>
        <v>308.65550713327428</v>
      </c>
      <c r="G66" s="218">
        <v>570.21500000000003</v>
      </c>
      <c r="H66" s="218" t="s">
        <v>162</v>
      </c>
      <c r="I66" s="218" t="s">
        <v>287</v>
      </c>
      <c r="J66" s="77" t="s">
        <v>100</v>
      </c>
      <c r="K66" s="218" t="s">
        <v>159</v>
      </c>
      <c r="L66" s="77" t="s">
        <v>160</v>
      </c>
      <c r="M66" s="77"/>
      <c r="N66" s="77"/>
    </row>
    <row r="67" spans="1:14" ht="15.65" customHeight="1">
      <c r="A67" s="217">
        <v>45674</v>
      </c>
      <c r="B67" s="218" t="s">
        <v>1025</v>
      </c>
      <c r="C67" s="218" t="s">
        <v>183</v>
      </c>
      <c r="D67" s="218" t="s">
        <v>124</v>
      </c>
      <c r="E67" s="218">
        <v>100000</v>
      </c>
      <c r="F67" s="294">
        <f t="shared" si="2"/>
        <v>175.37244723481493</v>
      </c>
      <c r="G67" s="218">
        <v>570.21500000000003</v>
      </c>
      <c r="H67" s="218" t="s">
        <v>190</v>
      </c>
      <c r="I67" s="218" t="s">
        <v>288</v>
      </c>
      <c r="J67" s="77" t="s">
        <v>100</v>
      </c>
      <c r="K67" s="218" t="s">
        <v>159</v>
      </c>
      <c r="L67" s="77" t="s">
        <v>160</v>
      </c>
      <c r="M67" s="77"/>
      <c r="N67" s="77"/>
    </row>
    <row r="68" spans="1:14" ht="15.65" customHeight="1">
      <c r="A68" s="217">
        <v>45674</v>
      </c>
      <c r="B68" s="218" t="s">
        <v>1026</v>
      </c>
      <c r="C68" s="218" t="s">
        <v>183</v>
      </c>
      <c r="D68" s="218" t="s">
        <v>124</v>
      </c>
      <c r="E68" s="218">
        <v>100000</v>
      </c>
      <c r="F68" s="294">
        <f t="shared" si="2"/>
        <v>175.37244723481493</v>
      </c>
      <c r="G68" s="218">
        <v>570.21500000000003</v>
      </c>
      <c r="H68" s="218" t="s">
        <v>190</v>
      </c>
      <c r="I68" s="218" t="s">
        <v>289</v>
      </c>
      <c r="J68" s="77" t="s">
        <v>100</v>
      </c>
      <c r="K68" s="218" t="s">
        <v>159</v>
      </c>
      <c r="L68" s="77" t="s">
        <v>160</v>
      </c>
      <c r="M68" s="77"/>
      <c r="N68" s="77"/>
    </row>
    <row r="69" spans="1:14" ht="15.65" customHeight="1">
      <c r="A69" s="217">
        <v>45674</v>
      </c>
      <c r="B69" s="218" t="s">
        <v>984</v>
      </c>
      <c r="C69" s="218" t="s">
        <v>179</v>
      </c>
      <c r="D69" s="218" t="s">
        <v>124</v>
      </c>
      <c r="E69" s="218">
        <v>7000</v>
      </c>
      <c r="F69" s="294">
        <f t="shared" si="2"/>
        <v>12.276071306437045</v>
      </c>
      <c r="G69" s="218">
        <v>570.21500000000003</v>
      </c>
      <c r="H69" s="218" t="s">
        <v>190</v>
      </c>
      <c r="I69" s="218" t="s">
        <v>290</v>
      </c>
      <c r="J69" s="77" t="s">
        <v>100</v>
      </c>
      <c r="K69" s="218" t="s">
        <v>159</v>
      </c>
      <c r="L69" s="77" t="s">
        <v>160</v>
      </c>
      <c r="M69" s="77"/>
      <c r="N69" s="77"/>
    </row>
    <row r="70" spans="1:14" ht="15.65" customHeight="1">
      <c r="A70" s="217">
        <v>45674</v>
      </c>
      <c r="B70" s="218" t="s">
        <v>1027</v>
      </c>
      <c r="C70" s="218" t="s">
        <v>183</v>
      </c>
      <c r="D70" s="218" t="s">
        <v>124</v>
      </c>
      <c r="E70" s="218">
        <v>30000</v>
      </c>
      <c r="F70" s="294">
        <f t="shared" si="2"/>
        <v>52.611734170444478</v>
      </c>
      <c r="G70" s="218">
        <v>570.21500000000003</v>
      </c>
      <c r="H70" s="218" t="s">
        <v>190</v>
      </c>
      <c r="I70" s="218" t="s">
        <v>291</v>
      </c>
      <c r="J70" s="77" t="s">
        <v>100</v>
      </c>
      <c r="K70" s="218" t="s">
        <v>159</v>
      </c>
      <c r="L70" s="77" t="s">
        <v>160</v>
      </c>
      <c r="M70" s="77"/>
      <c r="N70" s="77"/>
    </row>
    <row r="71" spans="1:14" ht="15.65" customHeight="1">
      <c r="A71" s="217">
        <v>45674</v>
      </c>
      <c r="B71" s="218" t="s">
        <v>1028</v>
      </c>
      <c r="C71" s="218" t="s">
        <v>183</v>
      </c>
      <c r="D71" s="218" t="s">
        <v>180</v>
      </c>
      <c r="E71" s="218">
        <v>30000</v>
      </c>
      <c r="F71" s="294">
        <f t="shared" si="2"/>
        <v>52.611734170444478</v>
      </c>
      <c r="G71" s="218">
        <v>570.21500000000003</v>
      </c>
      <c r="H71" s="218" t="s">
        <v>181</v>
      </c>
      <c r="I71" s="218" t="s">
        <v>292</v>
      </c>
      <c r="J71" s="77" t="s">
        <v>100</v>
      </c>
      <c r="K71" s="218" t="s">
        <v>159</v>
      </c>
      <c r="L71" s="77" t="s">
        <v>160</v>
      </c>
      <c r="M71" s="77"/>
      <c r="N71" s="77"/>
    </row>
    <row r="72" spans="1:14" ht="15.65" customHeight="1">
      <c r="A72" s="217">
        <v>45674</v>
      </c>
      <c r="B72" s="218" t="s">
        <v>984</v>
      </c>
      <c r="C72" s="218" t="s">
        <v>179</v>
      </c>
      <c r="D72" s="218" t="s">
        <v>180</v>
      </c>
      <c r="E72" s="218">
        <v>7000</v>
      </c>
      <c r="F72" s="294">
        <f t="shared" si="2"/>
        <v>12.276071306437045</v>
      </c>
      <c r="G72" s="218">
        <v>570.21500000000003</v>
      </c>
      <c r="H72" s="218" t="s">
        <v>181</v>
      </c>
      <c r="I72" s="218" t="s">
        <v>293</v>
      </c>
      <c r="J72" s="77" t="s">
        <v>100</v>
      </c>
      <c r="K72" s="218" t="s">
        <v>159</v>
      </c>
      <c r="L72" s="77" t="s">
        <v>160</v>
      </c>
      <c r="M72" s="77"/>
      <c r="N72" s="77"/>
    </row>
    <row r="73" spans="1:14" ht="15.65" customHeight="1">
      <c r="A73" s="217">
        <v>45674</v>
      </c>
      <c r="B73" s="218" t="s">
        <v>294</v>
      </c>
      <c r="C73" s="218" t="s">
        <v>183</v>
      </c>
      <c r="D73" s="218" t="s">
        <v>120</v>
      </c>
      <c r="E73" s="218">
        <v>30000</v>
      </c>
      <c r="F73" s="294">
        <f t="shared" si="2"/>
        <v>52.611734170444478</v>
      </c>
      <c r="G73" s="218">
        <v>570.21500000000003</v>
      </c>
      <c r="H73" s="218" t="s">
        <v>196</v>
      </c>
      <c r="I73" s="218" t="s">
        <v>295</v>
      </c>
      <c r="J73" s="77" t="s">
        <v>100</v>
      </c>
      <c r="K73" s="218" t="s">
        <v>159</v>
      </c>
      <c r="L73" s="77" t="s">
        <v>160</v>
      </c>
      <c r="M73" s="77"/>
      <c r="N73" s="77"/>
    </row>
    <row r="74" spans="1:14" ht="15.65" customHeight="1">
      <c r="A74" s="217">
        <v>45674</v>
      </c>
      <c r="B74" s="218" t="s">
        <v>296</v>
      </c>
      <c r="C74" s="218" t="s">
        <v>322</v>
      </c>
      <c r="D74" s="218" t="s">
        <v>120</v>
      </c>
      <c r="E74" s="218">
        <v>12000</v>
      </c>
      <c r="F74" s="294">
        <f t="shared" si="2"/>
        <v>21.044693668177793</v>
      </c>
      <c r="G74" s="218">
        <v>570.21500000000003</v>
      </c>
      <c r="H74" s="218" t="s">
        <v>199</v>
      </c>
      <c r="I74" s="218" t="s">
        <v>298</v>
      </c>
      <c r="J74" s="77" t="s">
        <v>100</v>
      </c>
      <c r="K74" s="218" t="s">
        <v>159</v>
      </c>
      <c r="L74" s="77" t="s">
        <v>160</v>
      </c>
      <c r="M74" s="77"/>
      <c r="N74" s="77"/>
    </row>
    <row r="75" spans="1:14" ht="15.65" customHeight="1">
      <c r="A75" s="217">
        <v>45674</v>
      </c>
      <c r="B75" s="218" t="s">
        <v>299</v>
      </c>
      <c r="C75" s="218" t="s">
        <v>179</v>
      </c>
      <c r="D75" s="218" t="s">
        <v>120</v>
      </c>
      <c r="E75" s="218">
        <v>8000</v>
      </c>
      <c r="F75" s="294">
        <f t="shared" si="2"/>
        <v>14.029795778785195</v>
      </c>
      <c r="G75" s="218">
        <v>570.21500000000003</v>
      </c>
      <c r="H75" s="218" t="s">
        <v>199</v>
      </c>
      <c r="I75" s="218" t="s">
        <v>300</v>
      </c>
      <c r="J75" s="77" t="s">
        <v>100</v>
      </c>
      <c r="K75" s="218" t="s">
        <v>159</v>
      </c>
      <c r="L75" s="77" t="s">
        <v>160</v>
      </c>
      <c r="M75" s="77"/>
      <c r="N75" s="77"/>
    </row>
    <row r="76" spans="1:14" ht="15.65" customHeight="1">
      <c r="A76" s="217">
        <v>45674</v>
      </c>
      <c r="B76" s="218" t="s">
        <v>302</v>
      </c>
      <c r="C76" s="218" t="s">
        <v>183</v>
      </c>
      <c r="D76" s="218" t="s">
        <v>123</v>
      </c>
      <c r="E76" s="218">
        <v>105000</v>
      </c>
      <c r="F76" s="294">
        <f t="shared" si="2"/>
        <v>184.14106959655567</v>
      </c>
      <c r="G76" s="218">
        <v>570.21500000000003</v>
      </c>
      <c r="H76" s="218" t="s">
        <v>220</v>
      </c>
      <c r="I76" s="218" t="s">
        <v>303</v>
      </c>
      <c r="J76" s="77" t="s">
        <v>100</v>
      </c>
      <c r="K76" s="218" t="s">
        <v>159</v>
      </c>
      <c r="L76" s="77" t="s">
        <v>160</v>
      </c>
      <c r="M76" s="77"/>
      <c r="N76" s="77"/>
    </row>
    <row r="77" spans="1:14" ht="15.65" customHeight="1">
      <c r="A77" s="217">
        <v>45674</v>
      </c>
      <c r="B77" s="218" t="s">
        <v>106</v>
      </c>
      <c r="C77" s="218" t="s">
        <v>128</v>
      </c>
      <c r="D77" s="218"/>
      <c r="E77" s="218"/>
      <c r="F77" s="294"/>
      <c r="G77" s="220">
        <f>+M77/N77</f>
        <v>596.1932333333333</v>
      </c>
      <c r="H77" s="218" t="s">
        <v>152</v>
      </c>
      <c r="I77" s="218" t="s">
        <v>135</v>
      </c>
      <c r="J77" s="77" t="s">
        <v>100</v>
      </c>
      <c r="K77" s="218" t="s">
        <v>159</v>
      </c>
      <c r="L77" s="77" t="s">
        <v>160</v>
      </c>
      <c r="M77" s="77">
        <v>17885797</v>
      </c>
      <c r="N77" s="77">
        <v>30000</v>
      </c>
    </row>
    <row r="78" spans="1:14" ht="15.65" customHeight="1">
      <c r="A78" s="217">
        <v>45675</v>
      </c>
      <c r="B78" s="218" t="s">
        <v>304</v>
      </c>
      <c r="C78" s="218" t="s">
        <v>183</v>
      </c>
      <c r="D78" s="218" t="s">
        <v>120</v>
      </c>
      <c r="E78" s="218">
        <v>30000</v>
      </c>
      <c r="F78" s="294">
        <f t="shared" ref="F78:F109" si="3">+E78/G78</f>
        <v>50.319275804982617</v>
      </c>
      <c r="G78" s="218">
        <v>596.19299999999998</v>
      </c>
      <c r="H78" s="218" t="s">
        <v>199</v>
      </c>
      <c r="I78" s="218" t="s">
        <v>305</v>
      </c>
      <c r="J78" s="77" t="s">
        <v>100</v>
      </c>
      <c r="K78" s="218" t="s">
        <v>159</v>
      </c>
      <c r="L78" s="77" t="s">
        <v>160</v>
      </c>
      <c r="M78" s="77"/>
      <c r="N78" s="77"/>
    </row>
    <row r="79" spans="1:14" ht="15.65" customHeight="1">
      <c r="A79" s="217">
        <v>45676</v>
      </c>
      <c r="B79" s="218" t="s">
        <v>508</v>
      </c>
      <c r="C79" s="218" t="s">
        <v>202</v>
      </c>
      <c r="D79" s="218" t="s">
        <v>120</v>
      </c>
      <c r="E79" s="218">
        <v>7000</v>
      </c>
      <c r="F79" s="294">
        <f t="shared" si="3"/>
        <v>12.276071306437045</v>
      </c>
      <c r="G79" s="218">
        <v>570.21500000000003</v>
      </c>
      <c r="H79" s="218" t="s">
        <v>203</v>
      </c>
      <c r="I79" s="218" t="s">
        <v>301</v>
      </c>
      <c r="J79" s="77" t="s">
        <v>100</v>
      </c>
      <c r="K79" s="218" t="s">
        <v>159</v>
      </c>
      <c r="L79" s="77" t="s">
        <v>160</v>
      </c>
      <c r="M79" s="77"/>
      <c r="N79" s="77"/>
    </row>
    <row r="80" spans="1:14" ht="15.65" customHeight="1">
      <c r="A80" s="217">
        <v>45676</v>
      </c>
      <c r="B80" s="218" t="s">
        <v>306</v>
      </c>
      <c r="C80" s="218" t="s">
        <v>183</v>
      </c>
      <c r="D80" s="218" t="s">
        <v>120</v>
      </c>
      <c r="E80" s="218">
        <v>150000</v>
      </c>
      <c r="F80" s="294">
        <f t="shared" si="3"/>
        <v>251.59637902491309</v>
      </c>
      <c r="G80" s="218">
        <v>596.19299999999998</v>
      </c>
      <c r="H80" s="218" t="s">
        <v>203</v>
      </c>
      <c r="I80" s="218" t="s">
        <v>307</v>
      </c>
      <c r="J80" s="77" t="s">
        <v>100</v>
      </c>
      <c r="K80" s="218" t="s">
        <v>159</v>
      </c>
      <c r="L80" s="77" t="s">
        <v>160</v>
      </c>
      <c r="M80" s="77"/>
      <c r="N80" s="77"/>
    </row>
    <row r="81" spans="1:14" ht="15.65" customHeight="1">
      <c r="A81" s="217">
        <v>45676</v>
      </c>
      <c r="B81" s="218" t="s">
        <v>308</v>
      </c>
      <c r="C81" s="218" t="s">
        <v>202</v>
      </c>
      <c r="D81" s="218" t="s">
        <v>120</v>
      </c>
      <c r="E81" s="218">
        <v>12500</v>
      </c>
      <c r="F81" s="294">
        <f t="shared" si="3"/>
        <v>20.966364918742755</v>
      </c>
      <c r="G81" s="218">
        <v>596.19299999999998</v>
      </c>
      <c r="H81" s="218" t="s">
        <v>203</v>
      </c>
      <c r="I81" s="218" t="s">
        <v>309</v>
      </c>
      <c r="J81" s="77" t="s">
        <v>100</v>
      </c>
      <c r="K81" s="218" t="s">
        <v>159</v>
      </c>
      <c r="L81" s="77" t="s">
        <v>160</v>
      </c>
      <c r="M81" s="77"/>
      <c r="N81" s="77"/>
    </row>
    <row r="82" spans="1:14" ht="15.65" customHeight="1">
      <c r="A82" s="217">
        <v>45677</v>
      </c>
      <c r="B82" s="218" t="s">
        <v>509</v>
      </c>
      <c r="C82" s="218" t="s">
        <v>177</v>
      </c>
      <c r="D82" s="218" t="s">
        <v>121</v>
      </c>
      <c r="E82" s="218">
        <v>195000</v>
      </c>
      <c r="F82" s="294">
        <f t="shared" si="3"/>
        <v>327.07529273238703</v>
      </c>
      <c r="G82" s="218">
        <v>596.19299999999998</v>
      </c>
      <c r="H82" s="218" t="s">
        <v>162</v>
      </c>
      <c r="I82" s="218" t="s">
        <v>310</v>
      </c>
      <c r="J82" s="77" t="s">
        <v>100</v>
      </c>
      <c r="K82" s="218" t="s">
        <v>159</v>
      </c>
      <c r="L82" s="77" t="s">
        <v>160</v>
      </c>
      <c r="M82" s="77"/>
      <c r="N82" s="77"/>
    </row>
    <row r="83" spans="1:14" ht="15.65" customHeight="1">
      <c r="A83" s="217">
        <v>45677</v>
      </c>
      <c r="B83" s="218" t="s">
        <v>311</v>
      </c>
      <c r="C83" s="218" t="s">
        <v>312</v>
      </c>
      <c r="D83" s="218" t="s">
        <v>121</v>
      </c>
      <c r="E83" s="218">
        <v>20000</v>
      </c>
      <c r="F83" s="294">
        <f t="shared" si="3"/>
        <v>33.546183869988411</v>
      </c>
      <c r="G83" s="218">
        <v>596.19299999999998</v>
      </c>
      <c r="H83" s="218" t="s">
        <v>162</v>
      </c>
      <c r="I83" s="218" t="s">
        <v>313</v>
      </c>
      <c r="J83" s="77" t="s">
        <v>100</v>
      </c>
      <c r="K83" s="218" t="s">
        <v>159</v>
      </c>
      <c r="L83" s="77" t="s">
        <v>160</v>
      </c>
      <c r="M83" s="77"/>
      <c r="N83" s="77"/>
    </row>
    <row r="84" spans="1:14" ht="15.65" customHeight="1">
      <c r="A84" s="217">
        <v>45678</v>
      </c>
      <c r="B84" s="218" t="s">
        <v>984</v>
      </c>
      <c r="C84" s="218" t="s">
        <v>179</v>
      </c>
      <c r="D84" s="218" t="s">
        <v>180</v>
      </c>
      <c r="E84" s="218">
        <v>7000</v>
      </c>
      <c r="F84" s="294">
        <f t="shared" si="3"/>
        <v>11.741164354495943</v>
      </c>
      <c r="G84" s="218">
        <v>596.19299999999998</v>
      </c>
      <c r="H84" s="218" t="s">
        <v>181</v>
      </c>
      <c r="I84" s="218" t="s">
        <v>314</v>
      </c>
      <c r="J84" s="77" t="s">
        <v>100</v>
      </c>
      <c r="K84" s="218" t="s">
        <v>159</v>
      </c>
      <c r="L84" s="77" t="s">
        <v>160</v>
      </c>
      <c r="M84" s="77"/>
      <c r="N84" s="77"/>
    </row>
    <row r="85" spans="1:14" ht="15.65" customHeight="1">
      <c r="A85" s="217">
        <v>45678</v>
      </c>
      <c r="B85" s="218" t="s">
        <v>315</v>
      </c>
      <c r="C85" s="218" t="s">
        <v>316</v>
      </c>
      <c r="D85" s="218" t="s">
        <v>180</v>
      </c>
      <c r="E85" s="218">
        <v>10000</v>
      </c>
      <c r="F85" s="294">
        <f t="shared" si="3"/>
        <v>17.537244723481493</v>
      </c>
      <c r="G85" s="218">
        <v>570.21500000000003</v>
      </c>
      <c r="H85" s="218" t="s">
        <v>181</v>
      </c>
      <c r="I85" s="218" t="s">
        <v>317</v>
      </c>
      <c r="J85" s="77" t="s">
        <v>100</v>
      </c>
      <c r="K85" s="218" t="s">
        <v>159</v>
      </c>
      <c r="L85" s="77" t="s">
        <v>160</v>
      </c>
      <c r="M85" s="77"/>
      <c r="N85" s="77"/>
    </row>
    <row r="86" spans="1:14" ht="15.65" customHeight="1">
      <c r="A86" s="217">
        <v>45678</v>
      </c>
      <c r="B86" s="218" t="s">
        <v>318</v>
      </c>
      <c r="C86" s="218" t="s">
        <v>319</v>
      </c>
      <c r="D86" s="218" t="s">
        <v>206</v>
      </c>
      <c r="E86" s="218">
        <v>24675</v>
      </c>
      <c r="F86" s="294">
        <f t="shared" si="3"/>
        <v>43.273151355190585</v>
      </c>
      <c r="G86" s="218">
        <v>570.21500000000003</v>
      </c>
      <c r="H86" s="218" t="s">
        <v>193</v>
      </c>
      <c r="I86" s="218" t="s">
        <v>320</v>
      </c>
      <c r="J86" s="77" t="s">
        <v>100</v>
      </c>
      <c r="K86" s="218" t="s">
        <v>159</v>
      </c>
      <c r="L86" s="77" t="s">
        <v>160</v>
      </c>
      <c r="M86" s="77"/>
      <c r="N86" s="77"/>
    </row>
    <row r="87" spans="1:14" ht="15.65" customHeight="1">
      <c r="A87" s="217">
        <v>45678</v>
      </c>
      <c r="B87" s="218" t="s">
        <v>321</v>
      </c>
      <c r="C87" s="218" t="s">
        <v>322</v>
      </c>
      <c r="D87" s="218" t="s">
        <v>120</v>
      </c>
      <c r="E87" s="218">
        <v>26000</v>
      </c>
      <c r="F87" s="294">
        <f t="shared" si="3"/>
        <v>43.610039030984936</v>
      </c>
      <c r="G87" s="218">
        <v>596.19299999999998</v>
      </c>
      <c r="H87" s="218" t="s">
        <v>193</v>
      </c>
      <c r="I87" s="218" t="s">
        <v>323</v>
      </c>
      <c r="J87" s="77" t="s">
        <v>100</v>
      </c>
      <c r="K87" s="218" t="s">
        <v>159</v>
      </c>
      <c r="L87" s="77" t="s">
        <v>160</v>
      </c>
      <c r="M87" s="77"/>
      <c r="N87" s="77"/>
    </row>
    <row r="88" spans="1:14" ht="15.65" customHeight="1">
      <c r="A88" s="217">
        <v>45678</v>
      </c>
      <c r="B88" s="218" t="s">
        <v>324</v>
      </c>
      <c r="C88" s="218" t="s">
        <v>325</v>
      </c>
      <c r="D88" s="218" t="s">
        <v>123</v>
      </c>
      <c r="E88" s="218">
        <v>154000</v>
      </c>
      <c r="F88" s="294">
        <f t="shared" si="3"/>
        <v>258.30561579891076</v>
      </c>
      <c r="G88" s="218">
        <v>596.19299999999998</v>
      </c>
      <c r="H88" s="218" t="s">
        <v>220</v>
      </c>
      <c r="I88" s="218" t="s">
        <v>326</v>
      </c>
      <c r="J88" s="77" t="s">
        <v>100</v>
      </c>
      <c r="K88" s="218" t="s">
        <v>159</v>
      </c>
      <c r="L88" s="77" t="s">
        <v>160</v>
      </c>
      <c r="M88" s="77"/>
      <c r="N88" s="77"/>
    </row>
    <row r="89" spans="1:14" ht="15.65" customHeight="1">
      <c r="A89" s="217">
        <v>45679</v>
      </c>
      <c r="B89" s="218" t="s">
        <v>1049</v>
      </c>
      <c r="C89" s="218" t="s">
        <v>183</v>
      </c>
      <c r="D89" s="218" t="s">
        <v>124</v>
      </c>
      <c r="E89" s="218">
        <v>80000</v>
      </c>
      <c r="F89" s="294">
        <f t="shared" si="3"/>
        <v>134.18473547995364</v>
      </c>
      <c r="G89" s="218">
        <v>596.19299999999998</v>
      </c>
      <c r="H89" s="218" t="s">
        <v>327</v>
      </c>
      <c r="I89" s="218" t="s">
        <v>328</v>
      </c>
      <c r="J89" s="77" t="s">
        <v>100</v>
      </c>
      <c r="K89" s="218" t="s">
        <v>159</v>
      </c>
      <c r="L89" s="77" t="s">
        <v>160</v>
      </c>
      <c r="M89" s="77"/>
      <c r="N89" s="77"/>
    </row>
    <row r="90" spans="1:14" ht="15.65" customHeight="1">
      <c r="A90" s="217">
        <v>45679</v>
      </c>
      <c r="B90" s="218" t="s">
        <v>984</v>
      </c>
      <c r="C90" s="218" t="s">
        <v>179</v>
      </c>
      <c r="D90" s="218" t="s">
        <v>124</v>
      </c>
      <c r="E90" s="218">
        <v>7000</v>
      </c>
      <c r="F90" s="294">
        <f t="shared" si="3"/>
        <v>11.741164354495943</v>
      </c>
      <c r="G90" s="218">
        <v>596.19299999999998</v>
      </c>
      <c r="H90" s="218" t="s">
        <v>327</v>
      </c>
      <c r="I90" s="218" t="s">
        <v>329</v>
      </c>
      <c r="J90" s="77" t="s">
        <v>100</v>
      </c>
      <c r="K90" s="218" t="s">
        <v>159</v>
      </c>
      <c r="L90" s="77" t="s">
        <v>160</v>
      </c>
      <c r="M90" s="77"/>
      <c r="N90" s="77"/>
    </row>
    <row r="91" spans="1:14" ht="15.65" customHeight="1">
      <c r="A91" s="217">
        <v>45679</v>
      </c>
      <c r="B91" s="218" t="s">
        <v>984</v>
      </c>
      <c r="C91" s="218" t="s">
        <v>179</v>
      </c>
      <c r="D91" s="218" t="s">
        <v>124</v>
      </c>
      <c r="E91" s="218">
        <v>7000</v>
      </c>
      <c r="F91" s="294">
        <f t="shared" si="3"/>
        <v>11.741164354495943</v>
      </c>
      <c r="G91" s="218">
        <v>596.19299999999998</v>
      </c>
      <c r="H91" s="218" t="s">
        <v>190</v>
      </c>
      <c r="I91" s="218" t="s">
        <v>330</v>
      </c>
      <c r="J91" s="77" t="s">
        <v>100</v>
      </c>
      <c r="K91" s="218" t="s">
        <v>159</v>
      </c>
      <c r="L91" s="77" t="s">
        <v>160</v>
      </c>
      <c r="M91" s="77"/>
      <c r="N91" s="77"/>
    </row>
    <row r="92" spans="1:14" ht="15.65" customHeight="1">
      <c r="A92" s="217">
        <v>45679</v>
      </c>
      <c r="B92" s="218" t="s">
        <v>1050</v>
      </c>
      <c r="C92" s="218" t="s">
        <v>183</v>
      </c>
      <c r="D92" s="218" t="s">
        <v>124</v>
      </c>
      <c r="E92" s="218">
        <v>80000</v>
      </c>
      <c r="F92" s="294">
        <f t="shared" si="3"/>
        <v>134.18473547995364</v>
      </c>
      <c r="G92" s="218">
        <v>596.19299999999998</v>
      </c>
      <c r="H92" s="218" t="s">
        <v>190</v>
      </c>
      <c r="I92" s="218" t="s">
        <v>331</v>
      </c>
      <c r="J92" s="77" t="s">
        <v>100</v>
      </c>
      <c r="K92" s="218" t="s">
        <v>159</v>
      </c>
      <c r="L92" s="77" t="s">
        <v>160</v>
      </c>
      <c r="M92" s="77"/>
      <c r="N92" s="77"/>
    </row>
    <row r="93" spans="1:14" ht="15.65" customHeight="1">
      <c r="A93" s="217">
        <v>45679</v>
      </c>
      <c r="B93" s="218" t="s">
        <v>1051</v>
      </c>
      <c r="C93" s="218" t="s">
        <v>183</v>
      </c>
      <c r="D93" s="218" t="s">
        <v>180</v>
      </c>
      <c r="E93" s="218">
        <v>80000</v>
      </c>
      <c r="F93" s="294">
        <f t="shared" si="3"/>
        <v>134.18473547995364</v>
      </c>
      <c r="G93" s="218">
        <v>596.19299999999998</v>
      </c>
      <c r="H93" s="218" t="s">
        <v>181</v>
      </c>
      <c r="I93" s="218" t="s">
        <v>332</v>
      </c>
      <c r="J93" s="77" t="s">
        <v>100</v>
      </c>
      <c r="K93" s="218" t="s">
        <v>159</v>
      </c>
      <c r="L93" s="77" t="s">
        <v>160</v>
      </c>
      <c r="M93" s="77"/>
      <c r="N93" s="77"/>
    </row>
    <row r="94" spans="1:14" ht="15.65" customHeight="1">
      <c r="A94" s="217">
        <v>45679</v>
      </c>
      <c r="B94" s="218" t="s">
        <v>984</v>
      </c>
      <c r="C94" s="218" t="s">
        <v>179</v>
      </c>
      <c r="D94" s="218" t="s">
        <v>124</v>
      </c>
      <c r="E94" s="218">
        <v>7000</v>
      </c>
      <c r="F94" s="294">
        <f t="shared" si="3"/>
        <v>11.741164354495943</v>
      </c>
      <c r="G94" s="218">
        <v>596.19299999999998</v>
      </c>
      <c r="H94" s="218" t="s">
        <v>333</v>
      </c>
      <c r="I94" s="218" t="s">
        <v>334</v>
      </c>
      <c r="J94" s="77" t="s">
        <v>100</v>
      </c>
      <c r="K94" s="218" t="s">
        <v>159</v>
      </c>
      <c r="L94" s="77" t="s">
        <v>160</v>
      </c>
      <c r="M94" s="77"/>
      <c r="N94" s="77"/>
    </row>
    <row r="95" spans="1:14" ht="15.65" customHeight="1">
      <c r="A95" s="217">
        <v>45679</v>
      </c>
      <c r="B95" s="218" t="s">
        <v>335</v>
      </c>
      <c r="C95" s="218" t="s">
        <v>183</v>
      </c>
      <c r="D95" s="218" t="s">
        <v>124</v>
      </c>
      <c r="E95" s="218">
        <v>80000</v>
      </c>
      <c r="F95" s="294">
        <f t="shared" si="3"/>
        <v>134.18473547995364</v>
      </c>
      <c r="G95" s="218">
        <v>596.19299999999998</v>
      </c>
      <c r="H95" s="218" t="s">
        <v>333</v>
      </c>
      <c r="I95" s="218" t="s">
        <v>336</v>
      </c>
      <c r="J95" s="77" t="s">
        <v>100</v>
      </c>
      <c r="K95" s="218" t="s">
        <v>159</v>
      </c>
      <c r="L95" s="77" t="s">
        <v>160</v>
      </c>
      <c r="M95" s="77"/>
      <c r="N95" s="77"/>
    </row>
    <row r="96" spans="1:14" ht="15.65" customHeight="1">
      <c r="A96" s="217">
        <v>45679</v>
      </c>
      <c r="B96" s="218" t="s">
        <v>337</v>
      </c>
      <c r="C96" s="218" t="s">
        <v>179</v>
      </c>
      <c r="D96" s="218" t="s">
        <v>120</v>
      </c>
      <c r="E96" s="218">
        <v>14500</v>
      </c>
      <c r="F96" s="294">
        <f t="shared" si="3"/>
        <v>24.320983305741599</v>
      </c>
      <c r="G96" s="218">
        <v>596.19299999999998</v>
      </c>
      <c r="H96" s="218" t="s">
        <v>196</v>
      </c>
      <c r="I96" s="218" t="s">
        <v>338</v>
      </c>
      <c r="J96" s="77" t="s">
        <v>100</v>
      </c>
      <c r="K96" s="218" t="s">
        <v>159</v>
      </c>
      <c r="L96" s="77" t="s">
        <v>160</v>
      </c>
      <c r="M96" s="77"/>
      <c r="N96" s="77"/>
    </row>
    <row r="97" spans="1:14" ht="15.65" customHeight="1">
      <c r="A97" s="217">
        <v>45679</v>
      </c>
      <c r="B97" s="218" t="s">
        <v>339</v>
      </c>
      <c r="C97" s="218" t="s">
        <v>188</v>
      </c>
      <c r="D97" s="218" t="s">
        <v>121</v>
      </c>
      <c r="E97" s="218">
        <v>3330</v>
      </c>
      <c r="F97" s="294">
        <f t="shared" si="3"/>
        <v>5.5854396143530707</v>
      </c>
      <c r="G97" s="218">
        <v>596.19299999999998</v>
      </c>
      <c r="H97" s="218" t="s">
        <v>196</v>
      </c>
      <c r="I97" s="218" t="s">
        <v>340</v>
      </c>
      <c r="J97" s="77" t="s">
        <v>100</v>
      </c>
      <c r="K97" s="218" t="s">
        <v>159</v>
      </c>
      <c r="L97" s="77" t="s">
        <v>160</v>
      </c>
      <c r="M97" s="77"/>
      <c r="N97" s="77"/>
    </row>
    <row r="98" spans="1:14" ht="15.65" customHeight="1">
      <c r="A98" s="217">
        <v>45679</v>
      </c>
      <c r="B98" s="218" t="s">
        <v>341</v>
      </c>
      <c r="C98" s="218" t="s">
        <v>177</v>
      </c>
      <c r="D98" s="218" t="s">
        <v>121</v>
      </c>
      <c r="E98" s="218">
        <v>7500</v>
      </c>
      <c r="F98" s="294">
        <f t="shared" si="3"/>
        <v>12.579818951245654</v>
      </c>
      <c r="G98" s="218">
        <v>596.19299999999998</v>
      </c>
      <c r="H98" s="218" t="s">
        <v>199</v>
      </c>
      <c r="I98" s="218" t="s">
        <v>342</v>
      </c>
      <c r="J98" s="77" t="s">
        <v>100</v>
      </c>
      <c r="K98" s="218" t="s">
        <v>159</v>
      </c>
      <c r="L98" s="77" t="s">
        <v>160</v>
      </c>
      <c r="M98" s="77"/>
      <c r="N98" s="77"/>
    </row>
    <row r="99" spans="1:14" ht="15.65" customHeight="1">
      <c r="A99" s="217">
        <v>45680</v>
      </c>
      <c r="B99" s="218" t="s">
        <v>343</v>
      </c>
      <c r="C99" s="218" t="s">
        <v>130</v>
      </c>
      <c r="D99" s="218" t="s">
        <v>120</v>
      </c>
      <c r="E99" s="218">
        <v>21000</v>
      </c>
      <c r="F99" s="294">
        <f t="shared" si="3"/>
        <v>35.22349306348783</v>
      </c>
      <c r="G99" s="218">
        <v>596.19299999999998</v>
      </c>
      <c r="H99" s="218" t="s">
        <v>162</v>
      </c>
      <c r="I99" s="218" t="s">
        <v>344</v>
      </c>
      <c r="J99" s="77" t="s">
        <v>100</v>
      </c>
      <c r="K99" s="218" t="s">
        <v>159</v>
      </c>
      <c r="L99" s="77" t="s">
        <v>160</v>
      </c>
      <c r="M99" s="77"/>
      <c r="N99" s="77"/>
    </row>
    <row r="100" spans="1:14" ht="15.65" customHeight="1">
      <c r="A100" s="217">
        <v>45680</v>
      </c>
      <c r="B100" s="218" t="s">
        <v>345</v>
      </c>
      <c r="C100" s="218" t="s">
        <v>188</v>
      </c>
      <c r="D100" s="218" t="s">
        <v>121</v>
      </c>
      <c r="E100" s="218">
        <v>21030</v>
      </c>
      <c r="F100" s="294">
        <f t="shared" si="3"/>
        <v>35.273812339292817</v>
      </c>
      <c r="G100" s="218">
        <v>596.19299999999998</v>
      </c>
      <c r="H100" s="218" t="s">
        <v>199</v>
      </c>
      <c r="I100" s="218" t="s">
        <v>346</v>
      </c>
      <c r="J100" s="77" t="s">
        <v>100</v>
      </c>
      <c r="K100" s="218" t="s">
        <v>159</v>
      </c>
      <c r="L100" s="77" t="s">
        <v>160</v>
      </c>
      <c r="M100" s="77"/>
      <c r="N100" s="77"/>
    </row>
    <row r="101" spans="1:14" ht="15.65" customHeight="1">
      <c r="A101" s="217">
        <v>45680</v>
      </c>
      <c r="B101" s="218" t="s">
        <v>107</v>
      </c>
      <c r="C101" s="218" t="s">
        <v>130</v>
      </c>
      <c r="D101" s="218" t="s">
        <v>122</v>
      </c>
      <c r="E101" s="218">
        <v>1311000</v>
      </c>
      <c r="F101" s="294">
        <f t="shared" si="3"/>
        <v>2198.9523526777402</v>
      </c>
      <c r="G101" s="218">
        <v>596.19299999999998</v>
      </c>
      <c r="H101" s="218" t="s">
        <v>152</v>
      </c>
      <c r="I101" s="218" t="s">
        <v>137</v>
      </c>
      <c r="J101" s="77" t="s">
        <v>100</v>
      </c>
      <c r="K101" s="218" t="s">
        <v>159</v>
      </c>
      <c r="L101" s="77" t="s">
        <v>160</v>
      </c>
      <c r="M101" s="77"/>
      <c r="N101" s="77"/>
    </row>
    <row r="102" spans="1:14" ht="15.65" customHeight="1">
      <c r="A102" s="217">
        <v>45680</v>
      </c>
      <c r="B102" s="218" t="s">
        <v>108</v>
      </c>
      <c r="C102" s="218" t="s">
        <v>130</v>
      </c>
      <c r="D102" s="218" t="s">
        <v>120</v>
      </c>
      <c r="E102" s="218">
        <v>200000</v>
      </c>
      <c r="F102" s="294">
        <f t="shared" si="3"/>
        <v>335.46183869988408</v>
      </c>
      <c r="G102" s="218">
        <v>596.19299999999998</v>
      </c>
      <c r="H102" s="218" t="s">
        <v>152</v>
      </c>
      <c r="I102" s="218" t="s">
        <v>138</v>
      </c>
      <c r="J102" s="77" t="s">
        <v>100</v>
      </c>
      <c r="K102" s="218" t="s">
        <v>159</v>
      </c>
      <c r="L102" s="77" t="s">
        <v>160</v>
      </c>
      <c r="M102" s="77"/>
      <c r="N102" s="77"/>
    </row>
    <row r="103" spans="1:14" ht="15.65" customHeight="1">
      <c r="A103" s="217">
        <v>45680</v>
      </c>
      <c r="B103" s="218" t="s">
        <v>109</v>
      </c>
      <c r="C103" s="218" t="s">
        <v>130</v>
      </c>
      <c r="D103" s="218" t="s">
        <v>121</v>
      </c>
      <c r="E103" s="218">
        <v>551482</v>
      </c>
      <c r="F103" s="294">
        <f t="shared" si="3"/>
        <v>925.00582864944738</v>
      </c>
      <c r="G103" s="218">
        <v>596.19299999999998</v>
      </c>
      <c r="H103" s="218" t="s">
        <v>152</v>
      </c>
      <c r="I103" s="218" t="s">
        <v>139</v>
      </c>
      <c r="J103" s="77" t="s">
        <v>100</v>
      </c>
      <c r="K103" s="218" t="s">
        <v>159</v>
      </c>
      <c r="L103" s="77" t="s">
        <v>160</v>
      </c>
      <c r="M103" s="77"/>
      <c r="N103" s="77"/>
    </row>
    <row r="104" spans="1:14" ht="15.65" customHeight="1">
      <c r="A104" s="217">
        <v>45680</v>
      </c>
      <c r="B104" s="218" t="s">
        <v>110</v>
      </c>
      <c r="C104" s="218" t="s">
        <v>130</v>
      </c>
      <c r="D104" s="218" t="s">
        <v>120</v>
      </c>
      <c r="E104" s="218">
        <v>384789</v>
      </c>
      <c r="F104" s="294">
        <f t="shared" si="3"/>
        <v>645.41012725744849</v>
      </c>
      <c r="G104" s="218">
        <v>596.19299999999998</v>
      </c>
      <c r="H104" s="218" t="s">
        <v>152</v>
      </c>
      <c r="I104" s="218" t="s">
        <v>140</v>
      </c>
      <c r="J104" s="77" t="s">
        <v>100</v>
      </c>
      <c r="K104" s="218" t="s">
        <v>159</v>
      </c>
      <c r="L104" s="77" t="s">
        <v>160</v>
      </c>
      <c r="M104" s="77"/>
      <c r="N104" s="77"/>
    </row>
    <row r="105" spans="1:14" ht="15.65" customHeight="1">
      <c r="A105" s="217">
        <v>45680</v>
      </c>
      <c r="B105" s="218" t="s">
        <v>111</v>
      </c>
      <c r="C105" s="218" t="s">
        <v>130</v>
      </c>
      <c r="D105" s="218" t="s">
        <v>120</v>
      </c>
      <c r="E105" s="218">
        <v>336400</v>
      </c>
      <c r="F105" s="294">
        <f t="shared" si="3"/>
        <v>564.24681269320502</v>
      </c>
      <c r="G105" s="218">
        <v>596.19299999999998</v>
      </c>
      <c r="H105" s="218" t="s">
        <v>152</v>
      </c>
      <c r="I105" s="218" t="s">
        <v>141</v>
      </c>
      <c r="J105" s="77" t="s">
        <v>100</v>
      </c>
      <c r="K105" s="218" t="s">
        <v>159</v>
      </c>
      <c r="L105" s="77" t="s">
        <v>160</v>
      </c>
      <c r="M105" s="77"/>
      <c r="N105" s="77"/>
    </row>
    <row r="106" spans="1:14" ht="15.65" customHeight="1">
      <c r="A106" s="217">
        <v>45680</v>
      </c>
      <c r="B106" s="218" t="s">
        <v>112</v>
      </c>
      <c r="C106" s="218" t="s">
        <v>130</v>
      </c>
      <c r="D106" s="218" t="s">
        <v>120</v>
      </c>
      <c r="E106" s="218">
        <v>200000</v>
      </c>
      <c r="F106" s="294">
        <f t="shared" si="3"/>
        <v>335.46183869988408</v>
      </c>
      <c r="G106" s="218">
        <v>596.19299999999998</v>
      </c>
      <c r="H106" s="218" t="s">
        <v>152</v>
      </c>
      <c r="I106" s="218" t="s">
        <v>142</v>
      </c>
      <c r="J106" s="77" t="s">
        <v>100</v>
      </c>
      <c r="K106" s="218" t="s">
        <v>159</v>
      </c>
      <c r="L106" s="77" t="s">
        <v>160</v>
      </c>
      <c r="M106" s="77"/>
      <c r="N106" s="77"/>
    </row>
    <row r="107" spans="1:14" ht="15.65" customHeight="1">
      <c r="A107" s="217">
        <v>45680</v>
      </c>
      <c r="B107" s="218" t="s">
        <v>113</v>
      </c>
      <c r="C107" s="218" t="s">
        <v>130</v>
      </c>
      <c r="D107" s="218" t="s">
        <v>120</v>
      </c>
      <c r="E107" s="218">
        <v>200000</v>
      </c>
      <c r="F107" s="294">
        <f t="shared" si="3"/>
        <v>335.46183869988408</v>
      </c>
      <c r="G107" s="218">
        <v>596.19299999999998</v>
      </c>
      <c r="H107" s="218" t="s">
        <v>152</v>
      </c>
      <c r="I107" s="218" t="s">
        <v>143</v>
      </c>
      <c r="J107" s="77" t="s">
        <v>100</v>
      </c>
      <c r="K107" s="218" t="s">
        <v>159</v>
      </c>
      <c r="L107" s="77" t="s">
        <v>160</v>
      </c>
      <c r="M107" s="77"/>
      <c r="N107" s="77"/>
    </row>
    <row r="108" spans="1:14" ht="15.65" customHeight="1">
      <c r="A108" s="217">
        <v>45680</v>
      </c>
      <c r="B108" s="218" t="s">
        <v>114</v>
      </c>
      <c r="C108" s="218" t="s">
        <v>130</v>
      </c>
      <c r="D108" s="218" t="s">
        <v>123</v>
      </c>
      <c r="E108" s="218">
        <v>238140</v>
      </c>
      <c r="F108" s="294">
        <f t="shared" si="3"/>
        <v>399.43441133995202</v>
      </c>
      <c r="G108" s="218">
        <v>596.19299999999998</v>
      </c>
      <c r="H108" s="218" t="s">
        <v>152</v>
      </c>
      <c r="I108" s="218" t="s">
        <v>144</v>
      </c>
      <c r="J108" s="77" t="s">
        <v>100</v>
      </c>
      <c r="K108" s="218" t="s">
        <v>159</v>
      </c>
      <c r="L108" s="77" t="s">
        <v>160</v>
      </c>
      <c r="M108" s="77"/>
      <c r="N108" s="77"/>
    </row>
    <row r="109" spans="1:14" ht="15.65" customHeight="1">
      <c r="A109" s="217">
        <v>45681</v>
      </c>
      <c r="B109" s="218" t="s">
        <v>347</v>
      </c>
      <c r="C109" s="218" t="s">
        <v>179</v>
      </c>
      <c r="D109" s="218" t="s">
        <v>120</v>
      </c>
      <c r="E109" s="218">
        <v>7000</v>
      </c>
      <c r="F109" s="294">
        <f t="shared" si="3"/>
        <v>11.741164354495943</v>
      </c>
      <c r="G109" s="218">
        <v>596.19299999999998</v>
      </c>
      <c r="H109" s="218" t="s">
        <v>207</v>
      </c>
      <c r="I109" s="218" t="s">
        <v>348</v>
      </c>
      <c r="J109" s="77" t="s">
        <v>100</v>
      </c>
      <c r="K109" s="218" t="s">
        <v>159</v>
      </c>
      <c r="L109" s="77" t="s">
        <v>160</v>
      </c>
      <c r="M109" s="77"/>
      <c r="N109" s="77"/>
    </row>
    <row r="110" spans="1:14" ht="15.65" customHeight="1">
      <c r="A110" s="217">
        <v>45681</v>
      </c>
      <c r="B110" s="218" t="s">
        <v>984</v>
      </c>
      <c r="C110" s="218" t="s">
        <v>179</v>
      </c>
      <c r="D110" s="218" t="s">
        <v>124</v>
      </c>
      <c r="E110" s="218">
        <v>5000</v>
      </c>
      <c r="F110" s="294">
        <f t="shared" ref="F110:F141" si="4">+E110/G110</f>
        <v>8.3865459674971028</v>
      </c>
      <c r="G110" s="218">
        <v>596.19299999999998</v>
      </c>
      <c r="H110" s="218" t="s">
        <v>327</v>
      </c>
      <c r="I110" s="218" t="s">
        <v>349</v>
      </c>
      <c r="J110" s="77" t="s">
        <v>100</v>
      </c>
      <c r="K110" s="218" t="s">
        <v>159</v>
      </c>
      <c r="L110" s="77" t="s">
        <v>160</v>
      </c>
      <c r="M110" s="77"/>
      <c r="N110" s="77"/>
    </row>
    <row r="111" spans="1:14" ht="15.65" customHeight="1">
      <c r="A111" s="217">
        <v>45681</v>
      </c>
      <c r="B111" s="218" t="s">
        <v>984</v>
      </c>
      <c r="C111" s="218" t="s">
        <v>179</v>
      </c>
      <c r="D111" s="218" t="s">
        <v>124</v>
      </c>
      <c r="E111" s="218">
        <v>5000</v>
      </c>
      <c r="F111" s="294">
        <f t="shared" si="4"/>
        <v>8.3865459674971028</v>
      </c>
      <c r="G111" s="218">
        <v>596.19299999999998</v>
      </c>
      <c r="H111" s="218" t="s">
        <v>327</v>
      </c>
      <c r="I111" s="218" t="s">
        <v>350</v>
      </c>
      <c r="J111" s="77" t="s">
        <v>100</v>
      </c>
      <c r="K111" s="218" t="s">
        <v>159</v>
      </c>
      <c r="L111" s="77" t="s">
        <v>160</v>
      </c>
      <c r="M111" s="77"/>
      <c r="N111" s="77"/>
    </row>
    <row r="112" spans="1:14" ht="15.65" customHeight="1">
      <c r="A112" s="217">
        <v>45681</v>
      </c>
      <c r="B112" s="218" t="s">
        <v>1029</v>
      </c>
      <c r="C112" s="218" t="s">
        <v>183</v>
      </c>
      <c r="D112" s="218" t="s">
        <v>124</v>
      </c>
      <c r="E112" s="218">
        <v>30000</v>
      </c>
      <c r="F112" s="294">
        <f t="shared" si="4"/>
        <v>50.319275804982617</v>
      </c>
      <c r="G112" s="218">
        <v>596.19299999999998</v>
      </c>
      <c r="H112" s="218" t="s">
        <v>190</v>
      </c>
      <c r="I112" s="218" t="s">
        <v>351</v>
      </c>
      <c r="J112" s="77" t="s">
        <v>100</v>
      </c>
      <c r="K112" s="218" t="s">
        <v>159</v>
      </c>
      <c r="L112" s="77" t="s">
        <v>160</v>
      </c>
      <c r="M112" s="77"/>
      <c r="N112" s="77"/>
    </row>
    <row r="113" spans="1:14" ht="15.65" customHeight="1">
      <c r="A113" s="217">
        <v>45681</v>
      </c>
      <c r="B113" s="218" t="s">
        <v>984</v>
      </c>
      <c r="C113" s="218" t="s">
        <v>179</v>
      </c>
      <c r="D113" s="218" t="s">
        <v>124</v>
      </c>
      <c r="E113" s="218">
        <v>6000</v>
      </c>
      <c r="F113" s="294">
        <f t="shared" si="4"/>
        <v>10.063855160996523</v>
      </c>
      <c r="G113" s="218">
        <v>596.19299999999998</v>
      </c>
      <c r="H113" s="218" t="s">
        <v>190</v>
      </c>
      <c r="I113" s="218" t="s">
        <v>352</v>
      </c>
      <c r="J113" s="77" t="s">
        <v>100</v>
      </c>
      <c r="K113" s="218" t="s">
        <v>159</v>
      </c>
      <c r="L113" s="77" t="s">
        <v>160</v>
      </c>
      <c r="M113" s="77"/>
      <c r="N113" s="77"/>
    </row>
    <row r="114" spans="1:14" ht="15.65" customHeight="1">
      <c r="A114" s="217">
        <v>45681</v>
      </c>
      <c r="B114" s="218" t="s">
        <v>1030</v>
      </c>
      <c r="C114" s="218" t="s">
        <v>183</v>
      </c>
      <c r="D114" s="218" t="s">
        <v>180</v>
      </c>
      <c r="E114" s="218">
        <v>30000</v>
      </c>
      <c r="F114" s="294">
        <f t="shared" si="4"/>
        <v>50.319275804982617</v>
      </c>
      <c r="G114" s="218">
        <v>596.19299999999998</v>
      </c>
      <c r="H114" s="218" t="s">
        <v>181</v>
      </c>
      <c r="I114" s="218" t="s">
        <v>353</v>
      </c>
      <c r="J114" s="77" t="s">
        <v>100</v>
      </c>
      <c r="K114" s="218" t="s">
        <v>159</v>
      </c>
      <c r="L114" s="77" t="s">
        <v>160</v>
      </c>
      <c r="M114" s="77"/>
      <c r="N114" s="77"/>
    </row>
    <row r="115" spans="1:14" ht="15.65" customHeight="1">
      <c r="A115" s="217">
        <v>45681</v>
      </c>
      <c r="B115" s="218" t="s">
        <v>984</v>
      </c>
      <c r="C115" s="218" t="s">
        <v>179</v>
      </c>
      <c r="D115" s="218" t="s">
        <v>180</v>
      </c>
      <c r="E115" s="218">
        <v>15000</v>
      </c>
      <c r="F115" s="294">
        <f t="shared" si="4"/>
        <v>25.159637902491308</v>
      </c>
      <c r="G115" s="218">
        <v>596.19299999999998</v>
      </c>
      <c r="H115" s="218" t="s">
        <v>181</v>
      </c>
      <c r="I115" s="218" t="s">
        <v>354</v>
      </c>
      <c r="J115" s="77" t="s">
        <v>100</v>
      </c>
      <c r="K115" s="218" t="s">
        <v>159</v>
      </c>
      <c r="L115" s="77" t="s">
        <v>160</v>
      </c>
      <c r="M115" s="77"/>
      <c r="N115" s="77"/>
    </row>
    <row r="116" spans="1:14" ht="15.65" customHeight="1">
      <c r="A116" s="217">
        <v>45681</v>
      </c>
      <c r="B116" s="218" t="s">
        <v>1031</v>
      </c>
      <c r="C116" s="218" t="s">
        <v>183</v>
      </c>
      <c r="D116" s="218" t="s">
        <v>124</v>
      </c>
      <c r="E116" s="218">
        <v>30000</v>
      </c>
      <c r="F116" s="294">
        <f t="shared" si="4"/>
        <v>50.319275804982617</v>
      </c>
      <c r="G116" s="218">
        <v>596.19299999999998</v>
      </c>
      <c r="H116" s="218" t="s">
        <v>333</v>
      </c>
      <c r="I116" s="218" t="s">
        <v>355</v>
      </c>
      <c r="J116" s="77" t="s">
        <v>100</v>
      </c>
      <c r="K116" s="218" t="s">
        <v>159</v>
      </c>
      <c r="L116" s="77" t="s">
        <v>160</v>
      </c>
      <c r="M116" s="77"/>
      <c r="N116" s="77"/>
    </row>
    <row r="117" spans="1:14" ht="15.65" customHeight="1">
      <c r="A117" s="217">
        <v>45681</v>
      </c>
      <c r="B117" s="218" t="s">
        <v>984</v>
      </c>
      <c r="C117" s="218" t="s">
        <v>179</v>
      </c>
      <c r="D117" s="218" t="s">
        <v>124</v>
      </c>
      <c r="E117" s="218">
        <v>8000</v>
      </c>
      <c r="F117" s="294">
        <f t="shared" si="4"/>
        <v>13.418473547995363</v>
      </c>
      <c r="G117" s="218">
        <v>596.19299999999998</v>
      </c>
      <c r="H117" s="218" t="s">
        <v>333</v>
      </c>
      <c r="I117" s="218" t="s">
        <v>356</v>
      </c>
      <c r="J117" s="77" t="s">
        <v>100</v>
      </c>
      <c r="K117" s="218" t="s">
        <v>159</v>
      </c>
      <c r="L117" s="77" t="s">
        <v>160</v>
      </c>
      <c r="M117" s="77"/>
      <c r="N117" s="77"/>
    </row>
    <row r="118" spans="1:14" ht="15.65" customHeight="1">
      <c r="A118" s="217">
        <v>45681</v>
      </c>
      <c r="B118" s="218" t="s">
        <v>357</v>
      </c>
      <c r="C118" s="218" t="s">
        <v>179</v>
      </c>
      <c r="D118" s="218" t="s">
        <v>120</v>
      </c>
      <c r="E118" s="218">
        <v>7000</v>
      </c>
      <c r="F118" s="294">
        <f t="shared" si="4"/>
        <v>11.741164354495943</v>
      </c>
      <c r="G118" s="218">
        <v>596.19299999999998</v>
      </c>
      <c r="H118" s="218" t="s">
        <v>193</v>
      </c>
      <c r="I118" s="218" t="s">
        <v>320</v>
      </c>
      <c r="J118" s="77" t="s">
        <v>100</v>
      </c>
      <c r="K118" s="218" t="s">
        <v>159</v>
      </c>
      <c r="L118" s="77" t="s">
        <v>160</v>
      </c>
      <c r="M118" s="77"/>
      <c r="N118" s="77"/>
    </row>
    <row r="119" spans="1:14" ht="15.65" customHeight="1">
      <c r="A119" s="217">
        <v>45682</v>
      </c>
      <c r="B119" s="218" t="s">
        <v>358</v>
      </c>
      <c r="C119" s="218" t="s">
        <v>183</v>
      </c>
      <c r="D119" s="218" t="s">
        <v>120</v>
      </c>
      <c r="E119" s="218">
        <v>150000</v>
      </c>
      <c r="F119" s="294">
        <f t="shared" si="4"/>
        <v>251.59637902491309</v>
      </c>
      <c r="G119" s="218">
        <v>596.19299999999998</v>
      </c>
      <c r="H119" s="218" t="s">
        <v>207</v>
      </c>
      <c r="I119" s="218" t="s">
        <v>359</v>
      </c>
      <c r="J119" s="77" t="s">
        <v>100</v>
      </c>
      <c r="K119" s="218" t="s">
        <v>159</v>
      </c>
      <c r="L119" s="77" t="s">
        <v>160</v>
      </c>
      <c r="M119" s="77"/>
      <c r="N119" s="77"/>
    </row>
    <row r="120" spans="1:14" ht="15.65" customHeight="1">
      <c r="A120" s="217">
        <v>45682</v>
      </c>
      <c r="B120" s="218" t="s">
        <v>360</v>
      </c>
      <c r="C120" s="218" t="s">
        <v>179</v>
      </c>
      <c r="D120" s="218" t="s">
        <v>120</v>
      </c>
      <c r="E120" s="218">
        <v>13500</v>
      </c>
      <c r="F120" s="294">
        <f t="shared" si="4"/>
        <v>22.643674112242177</v>
      </c>
      <c r="G120" s="218">
        <v>596.19299999999998</v>
      </c>
      <c r="H120" s="218" t="s">
        <v>207</v>
      </c>
      <c r="I120" s="218" t="s">
        <v>361</v>
      </c>
      <c r="J120" s="77" t="s">
        <v>100</v>
      </c>
      <c r="K120" s="218" t="s">
        <v>159</v>
      </c>
      <c r="L120" s="77" t="s">
        <v>160</v>
      </c>
      <c r="M120" s="77"/>
      <c r="N120" s="77"/>
    </row>
    <row r="121" spans="1:14" ht="15.65" customHeight="1">
      <c r="A121" s="217">
        <v>45682</v>
      </c>
      <c r="B121" s="218" t="s">
        <v>362</v>
      </c>
      <c r="C121" s="218" t="s">
        <v>183</v>
      </c>
      <c r="D121" s="218" t="s">
        <v>120</v>
      </c>
      <c r="E121" s="218">
        <v>240000</v>
      </c>
      <c r="F121" s="294">
        <f t="shared" si="4"/>
        <v>402.55420643986093</v>
      </c>
      <c r="G121" s="218">
        <v>596.19299999999998</v>
      </c>
      <c r="H121" s="218" t="s">
        <v>193</v>
      </c>
      <c r="I121" s="218" t="s">
        <v>363</v>
      </c>
      <c r="J121" s="77" t="s">
        <v>100</v>
      </c>
      <c r="K121" s="218" t="s">
        <v>159</v>
      </c>
      <c r="L121" s="77" t="s">
        <v>160</v>
      </c>
      <c r="M121" s="77"/>
      <c r="N121" s="77"/>
    </row>
    <row r="122" spans="1:14" ht="15.65" customHeight="1">
      <c r="A122" s="217">
        <v>45683</v>
      </c>
      <c r="B122" s="218" t="s">
        <v>1032</v>
      </c>
      <c r="C122" s="218" t="s">
        <v>183</v>
      </c>
      <c r="D122" s="218" t="s">
        <v>124</v>
      </c>
      <c r="E122" s="218">
        <v>60000</v>
      </c>
      <c r="F122" s="294">
        <f t="shared" si="4"/>
        <v>100.63855160996523</v>
      </c>
      <c r="G122" s="218">
        <v>596.19299999999998</v>
      </c>
      <c r="H122" s="218" t="s">
        <v>327</v>
      </c>
      <c r="I122" s="218" t="s">
        <v>364</v>
      </c>
      <c r="J122" s="77" t="s">
        <v>100</v>
      </c>
      <c r="K122" s="218" t="s">
        <v>159</v>
      </c>
      <c r="L122" s="77" t="s">
        <v>160</v>
      </c>
      <c r="M122" s="77"/>
      <c r="N122" s="77"/>
    </row>
    <row r="123" spans="1:14" ht="15.65" customHeight="1">
      <c r="A123" s="217">
        <v>45683</v>
      </c>
      <c r="B123" s="218" t="s">
        <v>984</v>
      </c>
      <c r="C123" s="218" t="s">
        <v>179</v>
      </c>
      <c r="D123" s="218" t="s">
        <v>124</v>
      </c>
      <c r="E123" s="218">
        <v>3000</v>
      </c>
      <c r="F123" s="294">
        <f t="shared" si="4"/>
        <v>5.0319275804982615</v>
      </c>
      <c r="G123" s="218">
        <v>596.19299999999998</v>
      </c>
      <c r="H123" s="218" t="s">
        <v>327</v>
      </c>
      <c r="I123" s="218" t="s">
        <v>365</v>
      </c>
      <c r="J123" s="77" t="s">
        <v>100</v>
      </c>
      <c r="K123" s="218" t="s">
        <v>159</v>
      </c>
      <c r="L123" s="77" t="s">
        <v>160</v>
      </c>
      <c r="M123" s="77"/>
      <c r="N123" s="77"/>
    </row>
    <row r="124" spans="1:14" ht="15.65" customHeight="1">
      <c r="A124" s="217">
        <v>45683</v>
      </c>
      <c r="B124" s="218" t="s">
        <v>1033</v>
      </c>
      <c r="C124" s="218" t="s">
        <v>183</v>
      </c>
      <c r="D124" s="218" t="s">
        <v>124</v>
      </c>
      <c r="E124" s="218">
        <v>30000</v>
      </c>
      <c r="F124" s="294">
        <f t="shared" si="4"/>
        <v>50.319275804982617</v>
      </c>
      <c r="G124" s="218">
        <v>596.19299999999998</v>
      </c>
      <c r="H124" s="218" t="s">
        <v>190</v>
      </c>
      <c r="I124" s="218" t="s">
        <v>366</v>
      </c>
      <c r="J124" s="77" t="s">
        <v>100</v>
      </c>
      <c r="K124" s="218" t="s">
        <v>159</v>
      </c>
      <c r="L124" s="77" t="s">
        <v>160</v>
      </c>
      <c r="M124" s="77"/>
      <c r="N124" s="77"/>
    </row>
    <row r="125" spans="1:14" ht="15.65" customHeight="1">
      <c r="A125" s="217">
        <v>45683</v>
      </c>
      <c r="B125" s="218" t="s">
        <v>984</v>
      </c>
      <c r="C125" s="218" t="s">
        <v>179</v>
      </c>
      <c r="D125" s="218" t="s">
        <v>124</v>
      </c>
      <c r="E125" s="218">
        <v>6000</v>
      </c>
      <c r="F125" s="294">
        <f t="shared" si="4"/>
        <v>10.063855160996523</v>
      </c>
      <c r="G125" s="218">
        <v>596.19299999999998</v>
      </c>
      <c r="H125" s="218" t="s">
        <v>190</v>
      </c>
      <c r="I125" s="218" t="s">
        <v>367</v>
      </c>
      <c r="J125" s="77" t="s">
        <v>100</v>
      </c>
      <c r="K125" s="218" t="s">
        <v>159</v>
      </c>
      <c r="L125" s="77" t="s">
        <v>160</v>
      </c>
      <c r="M125" s="77"/>
      <c r="N125" s="77"/>
    </row>
    <row r="126" spans="1:14" ht="15.65" customHeight="1">
      <c r="A126" s="217">
        <v>45683</v>
      </c>
      <c r="B126" s="218" t="s">
        <v>984</v>
      </c>
      <c r="C126" s="218" t="s">
        <v>179</v>
      </c>
      <c r="D126" s="218" t="s">
        <v>124</v>
      </c>
      <c r="E126" s="218">
        <v>5000</v>
      </c>
      <c r="F126" s="294">
        <f t="shared" si="4"/>
        <v>8.3865459674971028</v>
      </c>
      <c r="G126" s="218">
        <v>596.19299999999998</v>
      </c>
      <c r="H126" s="218" t="s">
        <v>190</v>
      </c>
      <c r="I126" s="218" t="s">
        <v>368</v>
      </c>
      <c r="J126" s="77" t="s">
        <v>100</v>
      </c>
      <c r="K126" s="218" t="s">
        <v>159</v>
      </c>
      <c r="L126" s="77" t="s">
        <v>160</v>
      </c>
      <c r="M126" s="77"/>
      <c r="N126" s="77"/>
    </row>
    <row r="127" spans="1:14" ht="15.65" customHeight="1">
      <c r="A127" s="217">
        <v>45683</v>
      </c>
      <c r="B127" s="218" t="s">
        <v>1034</v>
      </c>
      <c r="C127" s="218" t="s">
        <v>183</v>
      </c>
      <c r="D127" s="218" t="s">
        <v>180</v>
      </c>
      <c r="E127" s="218">
        <v>30000</v>
      </c>
      <c r="F127" s="294">
        <f t="shared" si="4"/>
        <v>50.319275804982617</v>
      </c>
      <c r="G127" s="218">
        <v>596.19299999999998</v>
      </c>
      <c r="H127" s="218" t="s">
        <v>181</v>
      </c>
      <c r="I127" s="218" t="s">
        <v>369</v>
      </c>
      <c r="J127" s="77" t="s">
        <v>100</v>
      </c>
      <c r="K127" s="218" t="s">
        <v>159</v>
      </c>
      <c r="L127" s="77" t="s">
        <v>160</v>
      </c>
      <c r="M127" s="77"/>
      <c r="N127" s="77"/>
    </row>
    <row r="128" spans="1:14" ht="15.65" customHeight="1">
      <c r="A128" s="217">
        <v>45683</v>
      </c>
      <c r="B128" s="218" t="s">
        <v>984</v>
      </c>
      <c r="C128" s="218" t="s">
        <v>179</v>
      </c>
      <c r="D128" s="218" t="s">
        <v>180</v>
      </c>
      <c r="E128" s="218">
        <v>7000</v>
      </c>
      <c r="F128" s="294">
        <f t="shared" si="4"/>
        <v>11.741164354495943</v>
      </c>
      <c r="G128" s="218">
        <v>596.19299999999998</v>
      </c>
      <c r="H128" s="218" t="s">
        <v>181</v>
      </c>
      <c r="I128" s="218" t="s">
        <v>370</v>
      </c>
      <c r="J128" s="77" t="s">
        <v>100</v>
      </c>
      <c r="K128" s="218" t="s">
        <v>159</v>
      </c>
      <c r="L128" s="77" t="s">
        <v>160</v>
      </c>
      <c r="M128" s="77"/>
      <c r="N128" s="77"/>
    </row>
    <row r="129" spans="1:14" ht="15.65" customHeight="1">
      <c r="A129" s="217">
        <v>45683</v>
      </c>
      <c r="B129" s="218" t="s">
        <v>1046</v>
      </c>
      <c r="C129" s="218" t="s">
        <v>183</v>
      </c>
      <c r="D129" s="218" t="s">
        <v>124</v>
      </c>
      <c r="E129" s="218">
        <v>30000</v>
      </c>
      <c r="F129" s="294">
        <f t="shared" si="4"/>
        <v>50.319275804982617</v>
      </c>
      <c r="G129" s="218">
        <v>596.19299999999998</v>
      </c>
      <c r="H129" s="218" t="s">
        <v>333</v>
      </c>
      <c r="I129" s="218" t="s">
        <v>371</v>
      </c>
      <c r="J129" s="77" t="s">
        <v>100</v>
      </c>
      <c r="K129" s="218" t="s">
        <v>159</v>
      </c>
      <c r="L129" s="77" t="s">
        <v>160</v>
      </c>
      <c r="M129" s="77"/>
      <c r="N129" s="77"/>
    </row>
    <row r="130" spans="1:14" ht="15.65" customHeight="1">
      <c r="A130" s="217">
        <v>45683</v>
      </c>
      <c r="B130" s="218" t="s">
        <v>984</v>
      </c>
      <c r="C130" s="218" t="s">
        <v>179</v>
      </c>
      <c r="D130" s="218" t="s">
        <v>124</v>
      </c>
      <c r="E130" s="218">
        <v>5000</v>
      </c>
      <c r="F130" s="294">
        <f t="shared" si="4"/>
        <v>8.3865459674971028</v>
      </c>
      <c r="G130" s="218">
        <v>596.19299999999998</v>
      </c>
      <c r="H130" s="218" t="s">
        <v>333</v>
      </c>
      <c r="I130" s="218" t="s">
        <v>372</v>
      </c>
      <c r="J130" s="77" t="s">
        <v>100</v>
      </c>
      <c r="K130" s="218" t="s">
        <v>159</v>
      </c>
      <c r="L130" s="77" t="s">
        <v>160</v>
      </c>
      <c r="M130" s="77"/>
      <c r="N130" s="77"/>
    </row>
    <row r="131" spans="1:14" ht="15.65" customHeight="1">
      <c r="A131" s="217">
        <v>45684</v>
      </c>
      <c r="B131" s="218" t="s">
        <v>373</v>
      </c>
      <c r="C131" s="218" t="s">
        <v>130</v>
      </c>
      <c r="D131" s="218" t="s">
        <v>120</v>
      </c>
      <c r="E131" s="218">
        <v>127070</v>
      </c>
      <c r="F131" s="294">
        <f t="shared" si="4"/>
        <v>213.13567921797136</v>
      </c>
      <c r="G131" s="218">
        <v>596.19299999999998</v>
      </c>
      <c r="H131" s="218" t="s">
        <v>162</v>
      </c>
      <c r="I131" s="218" t="s">
        <v>374</v>
      </c>
      <c r="J131" s="77" t="s">
        <v>100</v>
      </c>
      <c r="K131" s="218" t="s">
        <v>159</v>
      </c>
      <c r="L131" s="77" t="s">
        <v>160</v>
      </c>
      <c r="M131" s="77"/>
      <c r="N131" s="77"/>
    </row>
    <row r="132" spans="1:14" ht="15.65" customHeight="1">
      <c r="A132" s="217">
        <v>45684</v>
      </c>
      <c r="B132" s="218" t="s">
        <v>375</v>
      </c>
      <c r="C132" s="218" t="s">
        <v>376</v>
      </c>
      <c r="D132" s="218" t="s">
        <v>124</v>
      </c>
      <c r="E132" s="218">
        <v>17500</v>
      </c>
      <c r="F132" s="294">
        <f t="shared" si="4"/>
        <v>30.690178266092612</v>
      </c>
      <c r="G132" s="218">
        <v>570.21500000000003</v>
      </c>
      <c r="H132" s="218" t="s">
        <v>327</v>
      </c>
      <c r="I132" s="218" t="s">
        <v>377</v>
      </c>
      <c r="J132" s="77" t="s">
        <v>100</v>
      </c>
      <c r="K132" s="218" t="s">
        <v>159</v>
      </c>
      <c r="L132" s="77" t="s">
        <v>160</v>
      </c>
      <c r="M132" s="77"/>
      <c r="N132" s="77"/>
    </row>
    <row r="133" spans="1:14" ht="15.65" customHeight="1">
      <c r="A133" s="217">
        <v>45684</v>
      </c>
      <c r="B133" s="218" t="s">
        <v>378</v>
      </c>
      <c r="C133" s="218" t="s">
        <v>379</v>
      </c>
      <c r="D133" s="218" t="s">
        <v>124</v>
      </c>
      <c r="E133" s="218">
        <v>6000</v>
      </c>
      <c r="F133" s="294">
        <f t="shared" si="4"/>
        <v>10.522346834088896</v>
      </c>
      <c r="G133" s="218">
        <v>570.21500000000003</v>
      </c>
      <c r="H133" s="218" t="s">
        <v>333</v>
      </c>
      <c r="I133" s="218" t="s">
        <v>380</v>
      </c>
      <c r="J133" s="77" t="s">
        <v>100</v>
      </c>
      <c r="K133" s="218" t="s">
        <v>159</v>
      </c>
      <c r="L133" s="77" t="s">
        <v>160</v>
      </c>
      <c r="M133" s="77"/>
      <c r="N133" s="77"/>
    </row>
    <row r="134" spans="1:14" ht="15.65" customHeight="1">
      <c r="A134" s="217">
        <v>45684</v>
      </c>
      <c r="B134" s="218" t="s">
        <v>381</v>
      </c>
      <c r="C134" s="218" t="s">
        <v>130</v>
      </c>
      <c r="D134" s="218" t="s">
        <v>120</v>
      </c>
      <c r="E134" s="218">
        <v>30000</v>
      </c>
      <c r="F134" s="294">
        <f t="shared" si="4"/>
        <v>50.319275804982617</v>
      </c>
      <c r="G134" s="218">
        <v>596.19299999999998</v>
      </c>
      <c r="H134" s="218" t="s">
        <v>203</v>
      </c>
      <c r="I134" s="218" t="s">
        <v>382</v>
      </c>
      <c r="J134" s="77" t="s">
        <v>100</v>
      </c>
      <c r="K134" s="218" t="s">
        <v>159</v>
      </c>
      <c r="L134" s="77" t="s">
        <v>160</v>
      </c>
      <c r="M134" s="77"/>
      <c r="N134" s="77"/>
    </row>
    <row r="135" spans="1:14" ht="15.65" customHeight="1">
      <c r="A135" s="217">
        <v>45684</v>
      </c>
      <c r="B135" s="218" t="s">
        <v>383</v>
      </c>
      <c r="C135" s="218" t="s">
        <v>272</v>
      </c>
      <c r="D135" s="218" t="s">
        <v>206</v>
      </c>
      <c r="E135" s="218">
        <v>30000</v>
      </c>
      <c r="F135" s="294">
        <f t="shared" si="4"/>
        <v>52.611734170444478</v>
      </c>
      <c r="G135" s="218">
        <v>570.21500000000003</v>
      </c>
      <c r="H135" s="218" t="s">
        <v>203</v>
      </c>
      <c r="I135" s="218" t="s">
        <v>384</v>
      </c>
      <c r="J135" s="77" t="s">
        <v>100</v>
      </c>
      <c r="K135" s="218" t="s">
        <v>159</v>
      </c>
      <c r="L135" s="77" t="s">
        <v>160</v>
      </c>
      <c r="M135" s="77"/>
      <c r="N135" s="77"/>
    </row>
    <row r="136" spans="1:14" ht="15.65" customHeight="1">
      <c r="A136" s="217">
        <v>45685</v>
      </c>
      <c r="B136" s="218" t="s">
        <v>385</v>
      </c>
      <c r="C136" s="218" t="s">
        <v>130</v>
      </c>
      <c r="D136" s="218" t="s">
        <v>122</v>
      </c>
      <c r="E136" s="218">
        <v>150000</v>
      </c>
      <c r="F136" s="294">
        <f t="shared" si="4"/>
        <v>251.59637902491309</v>
      </c>
      <c r="G136" s="218">
        <v>596.19299999999998</v>
      </c>
      <c r="H136" s="218" t="s">
        <v>157</v>
      </c>
      <c r="I136" s="218" t="s">
        <v>386</v>
      </c>
      <c r="J136" s="77" t="s">
        <v>100</v>
      </c>
      <c r="K136" s="218" t="s">
        <v>159</v>
      </c>
      <c r="L136" s="77" t="s">
        <v>160</v>
      </c>
      <c r="M136" s="77"/>
      <c r="N136" s="77"/>
    </row>
    <row r="137" spans="1:14" ht="15.65" customHeight="1">
      <c r="A137" s="217">
        <v>45685</v>
      </c>
      <c r="B137" s="218" t="s">
        <v>1035</v>
      </c>
      <c r="C137" s="218" t="s">
        <v>183</v>
      </c>
      <c r="D137" s="218" t="s">
        <v>124</v>
      </c>
      <c r="E137" s="218">
        <v>30000</v>
      </c>
      <c r="F137" s="294">
        <f t="shared" si="4"/>
        <v>50.319275804982617</v>
      </c>
      <c r="G137" s="218">
        <v>596.19299999999998</v>
      </c>
      <c r="H137" s="218" t="s">
        <v>327</v>
      </c>
      <c r="I137" s="218" t="s">
        <v>387</v>
      </c>
      <c r="J137" s="77" t="s">
        <v>100</v>
      </c>
      <c r="K137" s="218" t="s">
        <v>159</v>
      </c>
      <c r="L137" s="77" t="s">
        <v>160</v>
      </c>
      <c r="M137" s="77"/>
      <c r="N137" s="77"/>
    </row>
    <row r="138" spans="1:14" ht="15.65" customHeight="1">
      <c r="A138" s="217">
        <v>45685</v>
      </c>
      <c r="B138" s="218" t="s">
        <v>984</v>
      </c>
      <c r="C138" s="218" t="s">
        <v>179</v>
      </c>
      <c r="D138" s="218" t="s">
        <v>124</v>
      </c>
      <c r="E138" s="218">
        <v>2000</v>
      </c>
      <c r="F138" s="294">
        <f t="shared" si="4"/>
        <v>3.3546183869988409</v>
      </c>
      <c r="G138" s="218">
        <v>596.19299999999998</v>
      </c>
      <c r="H138" s="218" t="s">
        <v>327</v>
      </c>
      <c r="I138" s="218" t="s">
        <v>388</v>
      </c>
      <c r="J138" s="77" t="s">
        <v>100</v>
      </c>
      <c r="K138" s="218" t="s">
        <v>159</v>
      </c>
      <c r="L138" s="77" t="s">
        <v>160</v>
      </c>
      <c r="M138" s="77"/>
      <c r="N138" s="77"/>
    </row>
    <row r="139" spans="1:14" ht="15.65" customHeight="1">
      <c r="A139" s="217">
        <v>45685</v>
      </c>
      <c r="B139" s="218" t="s">
        <v>1036</v>
      </c>
      <c r="C139" s="218" t="s">
        <v>183</v>
      </c>
      <c r="D139" s="218" t="s">
        <v>124</v>
      </c>
      <c r="E139" s="218">
        <v>30000</v>
      </c>
      <c r="F139" s="294">
        <f t="shared" si="4"/>
        <v>50.319275804982617</v>
      </c>
      <c r="G139" s="218">
        <v>596.19299999999998</v>
      </c>
      <c r="H139" s="218" t="s">
        <v>190</v>
      </c>
      <c r="I139" s="218" t="s">
        <v>389</v>
      </c>
      <c r="J139" s="77" t="s">
        <v>100</v>
      </c>
      <c r="K139" s="218" t="s">
        <v>159</v>
      </c>
      <c r="L139" s="77" t="s">
        <v>160</v>
      </c>
      <c r="M139" s="77"/>
      <c r="N139" s="77"/>
    </row>
    <row r="140" spans="1:14" ht="15.65" customHeight="1">
      <c r="A140" s="217">
        <v>45685</v>
      </c>
      <c r="B140" s="218" t="s">
        <v>984</v>
      </c>
      <c r="C140" s="218" t="s">
        <v>179</v>
      </c>
      <c r="D140" s="218" t="s">
        <v>124</v>
      </c>
      <c r="E140" s="218">
        <v>5000</v>
      </c>
      <c r="F140" s="294">
        <f t="shared" si="4"/>
        <v>8.3865459674971028</v>
      </c>
      <c r="G140" s="218">
        <v>596.19299999999998</v>
      </c>
      <c r="H140" s="218" t="s">
        <v>190</v>
      </c>
      <c r="I140" s="218" t="s">
        <v>390</v>
      </c>
      <c r="J140" s="77" t="s">
        <v>100</v>
      </c>
      <c r="K140" s="218" t="s">
        <v>159</v>
      </c>
      <c r="L140" s="77" t="s">
        <v>160</v>
      </c>
      <c r="M140" s="77"/>
      <c r="N140" s="77"/>
    </row>
    <row r="141" spans="1:14" ht="15.65" customHeight="1">
      <c r="A141" s="217">
        <v>45685</v>
      </c>
      <c r="B141" s="218" t="s">
        <v>1037</v>
      </c>
      <c r="C141" s="218" t="s">
        <v>183</v>
      </c>
      <c r="D141" s="218" t="s">
        <v>180</v>
      </c>
      <c r="E141" s="218">
        <v>30000</v>
      </c>
      <c r="F141" s="294">
        <f t="shared" si="4"/>
        <v>50.319275804982617</v>
      </c>
      <c r="G141" s="218">
        <v>596.19299999999998</v>
      </c>
      <c r="H141" s="218" t="s">
        <v>181</v>
      </c>
      <c r="I141" s="218" t="s">
        <v>391</v>
      </c>
      <c r="J141" s="77" t="s">
        <v>100</v>
      </c>
      <c r="K141" s="218" t="s">
        <v>159</v>
      </c>
      <c r="L141" s="77" t="s">
        <v>160</v>
      </c>
      <c r="M141" s="77"/>
      <c r="N141" s="77"/>
    </row>
    <row r="142" spans="1:14" ht="15.65" customHeight="1">
      <c r="A142" s="217">
        <v>45685</v>
      </c>
      <c r="B142" s="218" t="s">
        <v>984</v>
      </c>
      <c r="C142" s="218" t="s">
        <v>179</v>
      </c>
      <c r="D142" s="218" t="s">
        <v>180</v>
      </c>
      <c r="E142" s="218">
        <v>5000</v>
      </c>
      <c r="F142" s="294">
        <f t="shared" ref="F142:F173" si="5">+E142/G142</f>
        <v>8.3865459674971028</v>
      </c>
      <c r="G142" s="218">
        <v>596.19299999999998</v>
      </c>
      <c r="H142" s="218" t="s">
        <v>181</v>
      </c>
      <c r="I142" s="218" t="s">
        <v>392</v>
      </c>
      <c r="J142" s="77" t="s">
        <v>100</v>
      </c>
      <c r="K142" s="218" t="s">
        <v>159</v>
      </c>
      <c r="L142" s="77" t="s">
        <v>160</v>
      </c>
      <c r="M142" s="77"/>
      <c r="N142" s="77"/>
    </row>
    <row r="143" spans="1:14" ht="15.65" customHeight="1">
      <c r="A143" s="217">
        <v>45685</v>
      </c>
      <c r="B143" s="218" t="s">
        <v>1038</v>
      </c>
      <c r="C143" s="218" t="s">
        <v>183</v>
      </c>
      <c r="D143" s="218" t="s">
        <v>124</v>
      </c>
      <c r="E143" s="218">
        <v>30000</v>
      </c>
      <c r="F143" s="294">
        <f t="shared" si="5"/>
        <v>50.319275804982617</v>
      </c>
      <c r="G143" s="218">
        <v>596.19299999999998</v>
      </c>
      <c r="H143" s="218" t="s">
        <v>333</v>
      </c>
      <c r="I143" s="218" t="s">
        <v>393</v>
      </c>
      <c r="J143" s="77" t="s">
        <v>100</v>
      </c>
      <c r="K143" s="218" t="s">
        <v>159</v>
      </c>
      <c r="L143" s="77" t="s">
        <v>160</v>
      </c>
      <c r="M143" s="77"/>
      <c r="N143" s="77"/>
    </row>
    <row r="144" spans="1:14" ht="15.65" customHeight="1">
      <c r="A144" s="217">
        <v>45685</v>
      </c>
      <c r="B144" s="218" t="s">
        <v>984</v>
      </c>
      <c r="C144" s="218" t="s">
        <v>179</v>
      </c>
      <c r="D144" s="218" t="s">
        <v>124</v>
      </c>
      <c r="E144" s="218">
        <v>5000</v>
      </c>
      <c r="F144" s="294">
        <f t="shared" si="5"/>
        <v>8.3865459674971028</v>
      </c>
      <c r="G144" s="218">
        <v>596.19299999999998</v>
      </c>
      <c r="H144" s="218" t="s">
        <v>333</v>
      </c>
      <c r="I144" s="218" t="s">
        <v>394</v>
      </c>
      <c r="J144" s="77" t="s">
        <v>100</v>
      </c>
      <c r="K144" s="218" t="s">
        <v>159</v>
      </c>
      <c r="L144" s="77" t="s">
        <v>160</v>
      </c>
      <c r="M144" s="77"/>
      <c r="N144" s="77"/>
    </row>
    <row r="145" spans="1:14" ht="15.65" customHeight="1">
      <c r="A145" s="217">
        <v>45685</v>
      </c>
      <c r="B145" s="218" t="s">
        <v>395</v>
      </c>
      <c r="C145" s="218" t="s">
        <v>177</v>
      </c>
      <c r="D145" s="218" t="s">
        <v>121</v>
      </c>
      <c r="E145" s="218">
        <v>62500</v>
      </c>
      <c r="F145" s="294">
        <f t="shared" si="5"/>
        <v>104.83182459371379</v>
      </c>
      <c r="G145" s="218">
        <v>596.19299999999998</v>
      </c>
      <c r="H145" s="218" t="s">
        <v>199</v>
      </c>
      <c r="I145" s="218" t="s">
        <v>396</v>
      </c>
      <c r="J145" s="77" t="s">
        <v>100</v>
      </c>
      <c r="K145" s="218" t="s">
        <v>159</v>
      </c>
      <c r="L145" s="77" t="s">
        <v>160</v>
      </c>
      <c r="M145" s="77"/>
      <c r="N145" s="77"/>
    </row>
    <row r="146" spans="1:14" ht="15.65" customHeight="1">
      <c r="A146" s="217">
        <v>45685</v>
      </c>
      <c r="B146" s="218" t="s">
        <v>115</v>
      </c>
      <c r="C146" s="218" t="s">
        <v>131</v>
      </c>
      <c r="D146" s="218" t="s">
        <v>121</v>
      </c>
      <c r="E146" s="218">
        <v>10665</v>
      </c>
      <c r="F146" s="294">
        <f t="shared" si="5"/>
        <v>17.888502548671319</v>
      </c>
      <c r="G146" s="218">
        <v>596.19299999999998</v>
      </c>
      <c r="H146" s="218" t="s">
        <v>152</v>
      </c>
      <c r="I146" s="218" t="s">
        <v>145</v>
      </c>
      <c r="J146" s="77" t="s">
        <v>100</v>
      </c>
      <c r="K146" s="218" t="s">
        <v>159</v>
      </c>
      <c r="L146" s="77" t="s">
        <v>160</v>
      </c>
      <c r="M146" s="77"/>
      <c r="N146" s="77"/>
    </row>
    <row r="147" spans="1:14" ht="15.65" customHeight="1">
      <c r="A147" s="217">
        <v>45686</v>
      </c>
      <c r="B147" s="218" t="s">
        <v>397</v>
      </c>
      <c r="C147" s="218" t="s">
        <v>312</v>
      </c>
      <c r="D147" s="218" t="s">
        <v>121</v>
      </c>
      <c r="E147" s="218">
        <v>75625</v>
      </c>
      <c r="F147" s="294">
        <f t="shared" si="5"/>
        <v>126.84650775839368</v>
      </c>
      <c r="G147" s="218">
        <v>596.19299999999998</v>
      </c>
      <c r="H147" s="218" t="s">
        <v>162</v>
      </c>
      <c r="I147" s="218" t="s">
        <v>398</v>
      </c>
      <c r="J147" s="77" t="s">
        <v>100</v>
      </c>
      <c r="K147" s="218" t="s">
        <v>159</v>
      </c>
      <c r="L147" s="77" t="s">
        <v>160</v>
      </c>
      <c r="M147" s="77"/>
      <c r="N147" s="77"/>
    </row>
    <row r="148" spans="1:14" ht="15.65" customHeight="1">
      <c r="A148" s="217">
        <v>45686</v>
      </c>
      <c r="B148" s="218" t="s">
        <v>1039</v>
      </c>
      <c r="C148" s="218" t="s">
        <v>183</v>
      </c>
      <c r="D148" s="218" t="s">
        <v>124</v>
      </c>
      <c r="E148" s="218">
        <v>15000</v>
      </c>
      <c r="F148" s="294">
        <f t="shared" si="5"/>
        <v>25.159637902491308</v>
      </c>
      <c r="G148" s="218">
        <v>596.19299999999998</v>
      </c>
      <c r="H148" s="218" t="s">
        <v>190</v>
      </c>
      <c r="I148" s="218" t="s">
        <v>399</v>
      </c>
      <c r="J148" s="77" t="s">
        <v>100</v>
      </c>
      <c r="K148" s="218" t="s">
        <v>159</v>
      </c>
      <c r="L148" s="77" t="s">
        <v>160</v>
      </c>
      <c r="M148" s="77"/>
      <c r="N148" s="77"/>
    </row>
    <row r="149" spans="1:14" ht="15.65" customHeight="1">
      <c r="A149" s="217">
        <v>45686</v>
      </c>
      <c r="B149" s="218" t="s">
        <v>984</v>
      </c>
      <c r="C149" s="218" t="s">
        <v>179</v>
      </c>
      <c r="D149" s="218" t="s">
        <v>124</v>
      </c>
      <c r="E149" s="218">
        <v>3000</v>
      </c>
      <c r="F149" s="294">
        <f t="shared" si="5"/>
        <v>5.0319275804982615</v>
      </c>
      <c r="G149" s="218">
        <v>596.19299999999998</v>
      </c>
      <c r="H149" s="218" t="s">
        <v>190</v>
      </c>
      <c r="I149" s="218" t="s">
        <v>400</v>
      </c>
      <c r="J149" s="77" t="s">
        <v>100</v>
      </c>
      <c r="K149" s="218" t="s">
        <v>159</v>
      </c>
      <c r="L149" s="77" t="s">
        <v>160</v>
      </c>
      <c r="M149" s="77"/>
      <c r="N149" s="77"/>
    </row>
    <row r="150" spans="1:14" ht="15.65" customHeight="1">
      <c r="A150" s="217">
        <v>45686</v>
      </c>
      <c r="B150" s="218" t="s">
        <v>401</v>
      </c>
      <c r="C150" s="218" t="s">
        <v>379</v>
      </c>
      <c r="D150" s="218" t="s">
        <v>124</v>
      </c>
      <c r="E150" s="218">
        <v>70200</v>
      </c>
      <c r="F150" s="294">
        <f t="shared" si="5"/>
        <v>123.11145795884008</v>
      </c>
      <c r="G150" s="218">
        <v>570.21500000000003</v>
      </c>
      <c r="H150" s="218" t="s">
        <v>190</v>
      </c>
      <c r="I150" s="218" t="s">
        <v>402</v>
      </c>
      <c r="J150" s="77" t="s">
        <v>100</v>
      </c>
      <c r="K150" s="218" t="s">
        <v>159</v>
      </c>
      <c r="L150" s="77" t="s">
        <v>160</v>
      </c>
      <c r="M150" s="77"/>
      <c r="N150" s="77"/>
    </row>
    <row r="151" spans="1:14" ht="15.65" customHeight="1">
      <c r="A151" s="217">
        <v>45686</v>
      </c>
      <c r="B151" s="218" t="s">
        <v>984</v>
      </c>
      <c r="C151" s="218" t="s">
        <v>179</v>
      </c>
      <c r="D151" s="218" t="s">
        <v>124</v>
      </c>
      <c r="E151" s="218">
        <v>2500</v>
      </c>
      <c r="F151" s="294">
        <f t="shared" si="5"/>
        <v>4.1932729837485514</v>
      </c>
      <c r="G151" s="218">
        <v>596.19299999999998</v>
      </c>
      <c r="H151" s="218" t="s">
        <v>181</v>
      </c>
      <c r="I151" s="218" t="s">
        <v>403</v>
      </c>
      <c r="J151" s="77" t="s">
        <v>100</v>
      </c>
      <c r="K151" s="218" t="s">
        <v>159</v>
      </c>
      <c r="L151" s="77" t="s">
        <v>160</v>
      </c>
      <c r="M151" s="77"/>
      <c r="N151" s="77"/>
    </row>
    <row r="152" spans="1:14" ht="15.65" customHeight="1">
      <c r="A152" s="217">
        <v>45686</v>
      </c>
      <c r="B152" s="218" t="s">
        <v>1043</v>
      </c>
      <c r="C152" s="218" t="s">
        <v>183</v>
      </c>
      <c r="D152" s="218" t="s">
        <v>180</v>
      </c>
      <c r="E152" s="218">
        <v>15000</v>
      </c>
      <c r="F152" s="294">
        <f t="shared" si="5"/>
        <v>25.159637902491308</v>
      </c>
      <c r="G152" s="218">
        <v>596.19299999999998</v>
      </c>
      <c r="H152" s="218" t="s">
        <v>181</v>
      </c>
      <c r="I152" s="218" t="s">
        <v>404</v>
      </c>
      <c r="J152" s="77" t="s">
        <v>100</v>
      </c>
      <c r="K152" s="218" t="s">
        <v>159</v>
      </c>
      <c r="L152" s="77" t="s">
        <v>160</v>
      </c>
      <c r="M152" s="77"/>
      <c r="N152" s="77"/>
    </row>
    <row r="153" spans="1:14" ht="15.65" customHeight="1">
      <c r="A153" s="217">
        <v>45686</v>
      </c>
      <c r="B153" s="218" t="s">
        <v>405</v>
      </c>
      <c r="C153" s="218" t="s">
        <v>379</v>
      </c>
      <c r="D153" s="218" t="s">
        <v>180</v>
      </c>
      <c r="E153" s="218">
        <v>32000</v>
      </c>
      <c r="F153" s="294">
        <f t="shared" si="5"/>
        <v>56.119183115140778</v>
      </c>
      <c r="G153" s="218">
        <v>570.21500000000003</v>
      </c>
      <c r="H153" s="218" t="s">
        <v>181</v>
      </c>
      <c r="I153" s="218" t="s">
        <v>406</v>
      </c>
      <c r="J153" s="77" t="s">
        <v>100</v>
      </c>
      <c r="K153" s="218" t="s">
        <v>159</v>
      </c>
      <c r="L153" s="77" t="s">
        <v>160</v>
      </c>
      <c r="M153" s="77"/>
      <c r="N153" s="77"/>
    </row>
    <row r="154" spans="1:14" ht="15.65" customHeight="1">
      <c r="A154" s="217">
        <v>45686</v>
      </c>
      <c r="B154" s="218" t="s">
        <v>1040</v>
      </c>
      <c r="C154" s="218" t="s">
        <v>183</v>
      </c>
      <c r="D154" s="218" t="s">
        <v>124</v>
      </c>
      <c r="E154" s="218">
        <v>15000</v>
      </c>
      <c r="F154" s="294">
        <f t="shared" si="5"/>
        <v>25.159637902491308</v>
      </c>
      <c r="G154" s="218">
        <v>596.19299999999998</v>
      </c>
      <c r="H154" s="218" t="s">
        <v>333</v>
      </c>
      <c r="I154" s="218" t="s">
        <v>407</v>
      </c>
      <c r="J154" s="77" t="s">
        <v>100</v>
      </c>
      <c r="K154" s="218" t="s">
        <v>159</v>
      </c>
      <c r="L154" s="77" t="s">
        <v>160</v>
      </c>
      <c r="M154" s="77"/>
      <c r="N154" s="77"/>
    </row>
    <row r="155" spans="1:14" ht="15.65" customHeight="1">
      <c r="A155" s="217">
        <v>45686</v>
      </c>
      <c r="B155" s="218" t="s">
        <v>984</v>
      </c>
      <c r="C155" s="218" t="s">
        <v>179</v>
      </c>
      <c r="D155" s="218" t="s">
        <v>124</v>
      </c>
      <c r="E155" s="218">
        <v>3000</v>
      </c>
      <c r="F155" s="294">
        <f t="shared" si="5"/>
        <v>5.0319275804982615</v>
      </c>
      <c r="G155" s="218">
        <v>596.19299999999998</v>
      </c>
      <c r="H155" s="218" t="s">
        <v>333</v>
      </c>
      <c r="I155" s="218" t="s">
        <v>408</v>
      </c>
      <c r="J155" s="77" t="s">
        <v>100</v>
      </c>
      <c r="K155" s="218" t="s">
        <v>159</v>
      </c>
      <c r="L155" s="77" t="s">
        <v>160</v>
      </c>
      <c r="M155" s="77"/>
      <c r="N155" s="77"/>
    </row>
    <row r="156" spans="1:14" ht="15.65" customHeight="1">
      <c r="A156" s="217">
        <v>45686</v>
      </c>
      <c r="B156" s="218" t="s">
        <v>1041</v>
      </c>
      <c r="C156" s="218" t="s">
        <v>183</v>
      </c>
      <c r="D156" s="218" t="s">
        <v>124</v>
      </c>
      <c r="E156" s="218">
        <v>15000</v>
      </c>
      <c r="F156" s="294">
        <f t="shared" si="5"/>
        <v>25.159637902491308</v>
      </c>
      <c r="G156" s="218">
        <v>596.19299999999998</v>
      </c>
      <c r="H156" s="218" t="s">
        <v>333</v>
      </c>
      <c r="I156" s="218" t="s">
        <v>409</v>
      </c>
      <c r="J156" s="77" t="s">
        <v>100</v>
      </c>
      <c r="K156" s="218" t="s">
        <v>159</v>
      </c>
      <c r="L156" s="77" t="s">
        <v>160</v>
      </c>
      <c r="M156" s="77"/>
      <c r="N156" s="77"/>
    </row>
    <row r="157" spans="1:14" ht="15.65" customHeight="1">
      <c r="A157" s="217">
        <v>45687</v>
      </c>
      <c r="B157" s="218" t="s">
        <v>1042</v>
      </c>
      <c r="C157" s="218" t="s">
        <v>183</v>
      </c>
      <c r="D157" s="218" t="s">
        <v>124</v>
      </c>
      <c r="E157" s="218">
        <v>30000</v>
      </c>
      <c r="F157" s="294">
        <f t="shared" si="5"/>
        <v>50.319275804982617</v>
      </c>
      <c r="G157" s="218">
        <v>596.19299999999998</v>
      </c>
      <c r="H157" s="218" t="s">
        <v>327</v>
      </c>
      <c r="I157" s="218" t="s">
        <v>410</v>
      </c>
      <c r="J157" s="77" t="s">
        <v>100</v>
      </c>
      <c r="K157" s="218" t="s">
        <v>159</v>
      </c>
      <c r="L157" s="77" t="s">
        <v>160</v>
      </c>
      <c r="M157" s="77"/>
      <c r="N157" s="77"/>
    </row>
    <row r="158" spans="1:14" ht="15.65" customHeight="1">
      <c r="A158" s="217">
        <v>45687</v>
      </c>
      <c r="B158" s="218" t="s">
        <v>984</v>
      </c>
      <c r="C158" s="218" t="s">
        <v>179</v>
      </c>
      <c r="D158" s="218" t="s">
        <v>124</v>
      </c>
      <c r="E158" s="218">
        <v>7000</v>
      </c>
      <c r="F158" s="294">
        <f t="shared" si="5"/>
        <v>11.741164354495943</v>
      </c>
      <c r="G158" s="218">
        <v>596.19299999999998</v>
      </c>
      <c r="H158" s="218" t="s">
        <v>327</v>
      </c>
      <c r="I158" s="218" t="s">
        <v>411</v>
      </c>
      <c r="J158" s="77" t="s">
        <v>100</v>
      </c>
      <c r="K158" s="218" t="s">
        <v>159</v>
      </c>
      <c r="L158" s="77" t="s">
        <v>160</v>
      </c>
      <c r="M158" s="77"/>
      <c r="N158" s="77"/>
    </row>
    <row r="159" spans="1:14" ht="15.65" customHeight="1">
      <c r="A159" s="217">
        <v>45687</v>
      </c>
      <c r="B159" s="218" t="s">
        <v>412</v>
      </c>
      <c r="C159" s="218" t="s">
        <v>179</v>
      </c>
      <c r="D159" s="218" t="s">
        <v>124</v>
      </c>
      <c r="E159" s="218">
        <v>39300</v>
      </c>
      <c r="F159" s="294">
        <f t="shared" si="5"/>
        <v>65.918251304527232</v>
      </c>
      <c r="G159" s="218">
        <v>596.19299999999998</v>
      </c>
      <c r="H159" s="218" t="s">
        <v>327</v>
      </c>
      <c r="I159" s="218" t="s">
        <v>413</v>
      </c>
      <c r="J159" s="77" t="s">
        <v>100</v>
      </c>
      <c r="K159" s="218" t="s">
        <v>159</v>
      </c>
      <c r="L159" s="77" t="s">
        <v>160</v>
      </c>
      <c r="M159" s="77"/>
      <c r="N159" s="77"/>
    </row>
    <row r="160" spans="1:14" ht="15.65" customHeight="1">
      <c r="A160" s="217">
        <v>45687</v>
      </c>
      <c r="B160" s="218" t="s">
        <v>1021</v>
      </c>
      <c r="C160" s="218" t="s">
        <v>179</v>
      </c>
      <c r="D160" s="218" t="s">
        <v>124</v>
      </c>
      <c r="E160" s="218">
        <v>7000</v>
      </c>
      <c r="F160" s="294">
        <f t="shared" si="5"/>
        <v>11.741164354495943</v>
      </c>
      <c r="G160" s="218">
        <v>596.19299999999998</v>
      </c>
      <c r="H160" s="218" t="s">
        <v>190</v>
      </c>
      <c r="I160" s="218" t="s">
        <v>414</v>
      </c>
      <c r="J160" s="77" t="s">
        <v>100</v>
      </c>
      <c r="K160" s="218" t="s">
        <v>159</v>
      </c>
      <c r="L160" s="77" t="s">
        <v>160</v>
      </c>
      <c r="M160" s="77"/>
      <c r="N160" s="77"/>
    </row>
    <row r="161" spans="1:14" ht="15.65" customHeight="1">
      <c r="A161" s="217">
        <v>45687</v>
      </c>
      <c r="B161" s="218" t="s">
        <v>1044</v>
      </c>
      <c r="C161" s="218" t="s">
        <v>183</v>
      </c>
      <c r="D161" s="218" t="s">
        <v>124</v>
      </c>
      <c r="E161" s="218">
        <v>15000</v>
      </c>
      <c r="F161" s="294">
        <f t="shared" si="5"/>
        <v>25.159637902491308</v>
      </c>
      <c r="G161" s="218">
        <v>596.19299999999998</v>
      </c>
      <c r="H161" s="218" t="s">
        <v>190</v>
      </c>
      <c r="I161" s="218" t="s">
        <v>415</v>
      </c>
      <c r="J161" s="77" t="s">
        <v>100</v>
      </c>
      <c r="K161" s="218" t="s">
        <v>159</v>
      </c>
      <c r="L161" s="77" t="s">
        <v>160</v>
      </c>
      <c r="M161" s="77"/>
      <c r="N161" s="77"/>
    </row>
    <row r="162" spans="1:14" ht="15.65" customHeight="1">
      <c r="A162" s="217">
        <v>45687</v>
      </c>
      <c r="B162" s="218" t="s">
        <v>416</v>
      </c>
      <c r="C162" s="218" t="s">
        <v>179</v>
      </c>
      <c r="D162" s="218" t="s">
        <v>124</v>
      </c>
      <c r="E162" s="218">
        <v>54800</v>
      </c>
      <c r="F162" s="294">
        <f t="shared" si="5"/>
        <v>91.916543803768249</v>
      </c>
      <c r="G162" s="218">
        <v>596.19299999999998</v>
      </c>
      <c r="H162" s="218" t="s">
        <v>190</v>
      </c>
      <c r="I162" s="218" t="s">
        <v>417</v>
      </c>
      <c r="J162" s="77" t="s">
        <v>100</v>
      </c>
      <c r="K162" s="218" t="s">
        <v>159</v>
      </c>
      <c r="L162" s="77" t="s">
        <v>160</v>
      </c>
      <c r="M162" s="77"/>
      <c r="N162" s="77"/>
    </row>
    <row r="163" spans="1:14" ht="15.65" customHeight="1">
      <c r="A163" s="217">
        <v>45687</v>
      </c>
      <c r="B163" s="218" t="s">
        <v>1045</v>
      </c>
      <c r="C163" s="218" t="s">
        <v>183</v>
      </c>
      <c r="D163" s="218" t="s">
        <v>180</v>
      </c>
      <c r="E163" s="218">
        <v>15000</v>
      </c>
      <c r="F163" s="294">
        <f t="shared" si="5"/>
        <v>25.159637902491308</v>
      </c>
      <c r="G163" s="218">
        <v>596.19299999999998</v>
      </c>
      <c r="H163" s="218" t="s">
        <v>181</v>
      </c>
      <c r="I163" s="218" t="s">
        <v>418</v>
      </c>
      <c r="J163" s="77" t="s">
        <v>100</v>
      </c>
      <c r="K163" s="218" t="s">
        <v>159</v>
      </c>
      <c r="L163" s="77" t="s">
        <v>160</v>
      </c>
      <c r="M163" s="77"/>
      <c r="N163" s="77"/>
    </row>
    <row r="164" spans="1:14" ht="15.65" customHeight="1">
      <c r="A164" s="217">
        <v>45687</v>
      </c>
      <c r="B164" s="218" t="s">
        <v>1022</v>
      </c>
      <c r="C164" s="218" t="s">
        <v>179</v>
      </c>
      <c r="D164" s="218" t="s">
        <v>180</v>
      </c>
      <c r="E164" s="218">
        <v>8000</v>
      </c>
      <c r="F164" s="294">
        <f t="shared" si="5"/>
        <v>13.418473547995363</v>
      </c>
      <c r="G164" s="218">
        <v>596.19299999999998</v>
      </c>
      <c r="H164" s="218" t="s">
        <v>181</v>
      </c>
      <c r="I164" s="218" t="s">
        <v>419</v>
      </c>
      <c r="J164" s="77" t="s">
        <v>100</v>
      </c>
      <c r="K164" s="218" t="s">
        <v>159</v>
      </c>
      <c r="L164" s="77" t="s">
        <v>160</v>
      </c>
      <c r="M164" s="77"/>
      <c r="N164" s="77"/>
    </row>
    <row r="165" spans="1:14" ht="15.65" customHeight="1">
      <c r="A165" s="217">
        <v>45687</v>
      </c>
      <c r="B165" s="218" t="s">
        <v>420</v>
      </c>
      <c r="C165" s="218" t="s">
        <v>179</v>
      </c>
      <c r="D165" s="218" t="s">
        <v>180</v>
      </c>
      <c r="E165" s="218">
        <v>63400</v>
      </c>
      <c r="F165" s="294">
        <f t="shared" si="5"/>
        <v>106.34140286786327</v>
      </c>
      <c r="G165" s="218">
        <v>596.19299999999998</v>
      </c>
      <c r="H165" s="218" t="s">
        <v>181</v>
      </c>
      <c r="I165" s="218" t="s">
        <v>421</v>
      </c>
      <c r="J165" s="77" t="s">
        <v>100</v>
      </c>
      <c r="K165" s="218" t="s">
        <v>159</v>
      </c>
      <c r="L165" s="77" t="s">
        <v>160</v>
      </c>
      <c r="M165" s="77"/>
      <c r="N165" s="77"/>
    </row>
    <row r="166" spans="1:14" ht="15.65" customHeight="1">
      <c r="A166" s="217">
        <v>45687</v>
      </c>
      <c r="B166" s="218" t="s">
        <v>1022</v>
      </c>
      <c r="C166" s="218" t="s">
        <v>179</v>
      </c>
      <c r="D166" s="218" t="s">
        <v>124</v>
      </c>
      <c r="E166" s="218">
        <v>8000</v>
      </c>
      <c r="F166" s="294">
        <f t="shared" si="5"/>
        <v>13.418473547995363</v>
      </c>
      <c r="G166" s="218">
        <v>596.19299999999998</v>
      </c>
      <c r="H166" s="218" t="s">
        <v>333</v>
      </c>
      <c r="I166" s="218" t="s">
        <v>422</v>
      </c>
      <c r="J166" s="77" t="s">
        <v>100</v>
      </c>
      <c r="K166" s="218" t="s">
        <v>159</v>
      </c>
      <c r="L166" s="77" t="s">
        <v>160</v>
      </c>
      <c r="M166" s="77"/>
      <c r="N166" s="77"/>
    </row>
    <row r="167" spans="1:14" ht="15.65" customHeight="1">
      <c r="A167" s="217">
        <v>45687</v>
      </c>
      <c r="B167" s="218" t="s">
        <v>423</v>
      </c>
      <c r="C167" s="218" t="s">
        <v>179</v>
      </c>
      <c r="D167" s="218" t="s">
        <v>124</v>
      </c>
      <c r="E167" s="218">
        <v>38500</v>
      </c>
      <c r="F167" s="294">
        <f t="shared" si="5"/>
        <v>64.576403949727691</v>
      </c>
      <c r="G167" s="218">
        <v>596.19299999999998</v>
      </c>
      <c r="H167" s="218" t="s">
        <v>333</v>
      </c>
      <c r="I167" s="218" t="s">
        <v>424</v>
      </c>
      <c r="J167" s="77" t="s">
        <v>100</v>
      </c>
      <c r="K167" s="218" t="s">
        <v>159</v>
      </c>
      <c r="L167" s="77" t="s">
        <v>160</v>
      </c>
      <c r="M167" s="77"/>
      <c r="N167" s="77"/>
    </row>
    <row r="168" spans="1:14" ht="15.65" customHeight="1">
      <c r="A168" s="217">
        <v>45687</v>
      </c>
      <c r="B168" s="218" t="s">
        <v>425</v>
      </c>
      <c r="C168" s="218" t="s">
        <v>179</v>
      </c>
      <c r="D168" s="218" t="s">
        <v>120</v>
      </c>
      <c r="E168" s="218">
        <v>33500</v>
      </c>
      <c r="F168" s="294">
        <f t="shared" si="5"/>
        <v>56.189857982230585</v>
      </c>
      <c r="G168" s="218">
        <v>596.19299999999998</v>
      </c>
      <c r="H168" s="218" t="s">
        <v>199</v>
      </c>
      <c r="I168" s="218" t="s">
        <v>426</v>
      </c>
      <c r="J168" s="77" t="s">
        <v>100</v>
      </c>
      <c r="K168" s="218" t="s">
        <v>159</v>
      </c>
      <c r="L168" s="77" t="s">
        <v>160</v>
      </c>
      <c r="M168" s="77"/>
      <c r="N168" s="77"/>
    </row>
    <row r="169" spans="1:14" ht="15.65" customHeight="1">
      <c r="A169" s="217">
        <v>45687</v>
      </c>
      <c r="B169" s="218" t="s">
        <v>427</v>
      </c>
      <c r="C169" s="218" t="s">
        <v>179</v>
      </c>
      <c r="D169" s="218" t="s">
        <v>123</v>
      </c>
      <c r="E169" s="218">
        <v>24500</v>
      </c>
      <c r="F169" s="294">
        <f t="shared" si="5"/>
        <v>41.094075240735805</v>
      </c>
      <c r="G169" s="218">
        <v>596.19299999999998</v>
      </c>
      <c r="H169" s="218" t="s">
        <v>220</v>
      </c>
      <c r="I169" s="218" t="s">
        <v>428</v>
      </c>
      <c r="J169" s="77" t="s">
        <v>100</v>
      </c>
      <c r="K169" s="218" t="s">
        <v>159</v>
      </c>
      <c r="L169" s="77" t="s">
        <v>160</v>
      </c>
      <c r="M169" s="77"/>
      <c r="N169" s="77"/>
    </row>
    <row r="170" spans="1:14" ht="15.65" customHeight="1">
      <c r="A170" s="217">
        <v>45687</v>
      </c>
      <c r="B170" s="218" t="s">
        <v>429</v>
      </c>
      <c r="C170" s="218" t="s">
        <v>325</v>
      </c>
      <c r="D170" s="218" t="s">
        <v>123</v>
      </c>
      <c r="E170" s="218">
        <v>148000</v>
      </c>
      <c r="F170" s="294">
        <f t="shared" si="5"/>
        <v>248.24176063791424</v>
      </c>
      <c r="G170" s="218">
        <v>596.19299999999998</v>
      </c>
      <c r="H170" s="218" t="s">
        <v>220</v>
      </c>
      <c r="I170" s="218" t="s">
        <v>430</v>
      </c>
      <c r="J170" s="77" t="s">
        <v>100</v>
      </c>
      <c r="K170" s="218" t="s">
        <v>159</v>
      </c>
      <c r="L170" s="77" t="s">
        <v>160</v>
      </c>
      <c r="M170" s="77"/>
      <c r="N170" s="77"/>
    </row>
    <row r="171" spans="1:14" ht="15.65" customHeight="1">
      <c r="A171" s="217">
        <v>45688</v>
      </c>
      <c r="B171" s="218" t="s">
        <v>431</v>
      </c>
      <c r="C171" s="218" t="s">
        <v>179</v>
      </c>
      <c r="D171" s="218" t="s">
        <v>122</v>
      </c>
      <c r="E171" s="218">
        <v>25500</v>
      </c>
      <c r="F171" s="294">
        <f t="shared" si="5"/>
        <v>42.771384434235223</v>
      </c>
      <c r="G171" s="218">
        <v>596.19299999999998</v>
      </c>
      <c r="H171" s="218" t="s">
        <v>157</v>
      </c>
      <c r="I171" s="218" t="s">
        <v>432</v>
      </c>
      <c r="J171" s="77" t="s">
        <v>100</v>
      </c>
      <c r="K171" s="218" t="s">
        <v>159</v>
      </c>
      <c r="L171" s="77" t="s">
        <v>160</v>
      </c>
      <c r="M171" s="77"/>
      <c r="N171" s="77"/>
    </row>
    <row r="172" spans="1:14" ht="15.65" customHeight="1">
      <c r="A172" s="217">
        <v>45688</v>
      </c>
      <c r="B172" s="218" t="s">
        <v>433</v>
      </c>
      <c r="C172" s="218" t="s">
        <v>434</v>
      </c>
      <c r="D172" s="218" t="s">
        <v>122</v>
      </c>
      <c r="E172" s="218">
        <v>174625</v>
      </c>
      <c r="F172" s="294">
        <f t="shared" si="5"/>
        <v>292.9001179148363</v>
      </c>
      <c r="G172" s="218">
        <v>596.19299999999998</v>
      </c>
      <c r="H172" s="218" t="s">
        <v>157</v>
      </c>
      <c r="I172" s="218" t="s">
        <v>435</v>
      </c>
      <c r="J172" s="77" t="s">
        <v>100</v>
      </c>
      <c r="K172" s="218" t="s">
        <v>159</v>
      </c>
      <c r="L172" s="77" t="s">
        <v>160</v>
      </c>
      <c r="M172" s="77"/>
      <c r="N172" s="77"/>
    </row>
    <row r="173" spans="1:14" ht="15.65" customHeight="1">
      <c r="A173" s="217">
        <v>45688</v>
      </c>
      <c r="B173" s="218" t="s">
        <v>436</v>
      </c>
      <c r="C173" s="218" t="s">
        <v>179</v>
      </c>
      <c r="D173" s="218" t="s">
        <v>121</v>
      </c>
      <c r="E173" s="218">
        <v>41000</v>
      </c>
      <c r="F173" s="294">
        <f t="shared" si="5"/>
        <v>68.769676933476248</v>
      </c>
      <c r="G173" s="218">
        <v>596.19299999999998</v>
      </c>
      <c r="H173" s="218" t="s">
        <v>162</v>
      </c>
      <c r="I173" s="218" t="s">
        <v>437</v>
      </c>
      <c r="J173" s="77" t="s">
        <v>100</v>
      </c>
      <c r="K173" s="218" t="s">
        <v>159</v>
      </c>
      <c r="L173" s="77" t="s">
        <v>160</v>
      </c>
      <c r="M173" s="77"/>
      <c r="N173" s="77"/>
    </row>
    <row r="174" spans="1:14" ht="15.65" customHeight="1">
      <c r="A174" s="217">
        <v>45688</v>
      </c>
      <c r="B174" s="218" t="s">
        <v>438</v>
      </c>
      <c r="C174" s="218" t="s">
        <v>312</v>
      </c>
      <c r="D174" s="218" t="s">
        <v>121</v>
      </c>
      <c r="E174" s="218">
        <v>6000</v>
      </c>
      <c r="F174" s="294">
        <f t="shared" ref="F174:F205" si="6">+E174/G174</f>
        <v>10.063855160996523</v>
      </c>
      <c r="G174" s="218">
        <v>596.19299999999998</v>
      </c>
      <c r="H174" s="218" t="s">
        <v>162</v>
      </c>
      <c r="I174" s="218" t="s">
        <v>439</v>
      </c>
      <c r="J174" s="77" t="s">
        <v>100</v>
      </c>
      <c r="K174" s="218" t="s">
        <v>159</v>
      </c>
      <c r="L174" s="77" t="s">
        <v>160</v>
      </c>
      <c r="M174" s="77"/>
      <c r="N174" s="77"/>
    </row>
    <row r="175" spans="1:14" ht="15.65" customHeight="1">
      <c r="A175" s="217">
        <v>45688</v>
      </c>
      <c r="B175" s="218" t="s">
        <v>440</v>
      </c>
      <c r="C175" s="218" t="s">
        <v>441</v>
      </c>
      <c r="D175" s="218" t="s">
        <v>121</v>
      </c>
      <c r="E175" s="218">
        <v>45050</v>
      </c>
      <c r="F175" s="294">
        <f t="shared" si="6"/>
        <v>75.562779167148889</v>
      </c>
      <c r="G175" s="218">
        <v>596.19299999999998</v>
      </c>
      <c r="H175" s="218" t="s">
        <v>162</v>
      </c>
      <c r="I175" s="218" t="s">
        <v>442</v>
      </c>
      <c r="J175" s="77" t="s">
        <v>100</v>
      </c>
      <c r="K175" s="218" t="s">
        <v>159</v>
      </c>
      <c r="L175" s="77" t="s">
        <v>160</v>
      </c>
      <c r="M175" s="77"/>
      <c r="N175" s="77"/>
    </row>
    <row r="176" spans="1:14" ht="15.65" customHeight="1">
      <c r="A176" s="217">
        <v>45688</v>
      </c>
      <c r="B176" s="218" t="s">
        <v>443</v>
      </c>
      <c r="C176" s="218" t="s">
        <v>179</v>
      </c>
      <c r="D176" s="218" t="s">
        <v>120</v>
      </c>
      <c r="E176" s="218">
        <v>38000</v>
      </c>
      <c r="F176" s="294">
        <f t="shared" si="6"/>
        <v>63.737749352977978</v>
      </c>
      <c r="G176" s="218">
        <v>596.19299999999998</v>
      </c>
      <c r="H176" s="218" t="s">
        <v>193</v>
      </c>
      <c r="I176" s="218" t="s">
        <v>444</v>
      </c>
      <c r="J176" s="77" t="s">
        <v>100</v>
      </c>
      <c r="K176" s="218" t="s">
        <v>159</v>
      </c>
      <c r="L176" s="77" t="s">
        <v>160</v>
      </c>
      <c r="M176" s="77"/>
      <c r="N176" s="77"/>
    </row>
    <row r="177" spans="1:14" ht="15.65" customHeight="1">
      <c r="A177" s="217">
        <v>45688</v>
      </c>
      <c r="B177" s="218" t="s">
        <v>445</v>
      </c>
      <c r="C177" s="218" t="s">
        <v>446</v>
      </c>
      <c r="D177" s="218" t="s">
        <v>121</v>
      </c>
      <c r="E177" s="218">
        <v>50000</v>
      </c>
      <c r="F177" s="294">
        <f t="shared" si="6"/>
        <v>83.865459674971021</v>
      </c>
      <c r="G177" s="218">
        <v>596.19299999999998</v>
      </c>
      <c r="H177" s="218" t="s">
        <v>196</v>
      </c>
      <c r="I177" s="218" t="s">
        <v>447</v>
      </c>
      <c r="J177" s="77" t="s">
        <v>100</v>
      </c>
      <c r="K177" s="218" t="s">
        <v>159</v>
      </c>
      <c r="L177" s="77" t="s">
        <v>160</v>
      </c>
      <c r="M177" s="77"/>
      <c r="N177" s="77"/>
    </row>
    <row r="178" spans="1:14" ht="15.65" customHeight="1">
      <c r="A178" s="217">
        <v>45688</v>
      </c>
      <c r="B178" s="218" t="s">
        <v>116</v>
      </c>
      <c r="C178" s="218" t="s">
        <v>130</v>
      </c>
      <c r="D178" s="218" t="s">
        <v>124</v>
      </c>
      <c r="E178" s="218">
        <v>255000</v>
      </c>
      <c r="F178" s="294">
        <f t="shared" si="6"/>
        <v>427.71384434235222</v>
      </c>
      <c r="G178" s="218">
        <v>596.19299999999998</v>
      </c>
      <c r="H178" s="218" t="s">
        <v>152</v>
      </c>
      <c r="I178" s="218" t="s">
        <v>148</v>
      </c>
      <c r="J178" s="77" t="s">
        <v>100</v>
      </c>
      <c r="K178" s="218" t="s">
        <v>159</v>
      </c>
      <c r="L178" s="77" t="s">
        <v>160</v>
      </c>
      <c r="M178" s="77"/>
      <c r="N178" s="77"/>
    </row>
    <row r="179" spans="1:14" ht="15.65" customHeight="1">
      <c r="A179" s="217">
        <v>45688</v>
      </c>
      <c r="B179" s="218" t="s">
        <v>117</v>
      </c>
      <c r="C179" s="218" t="s">
        <v>130</v>
      </c>
      <c r="D179" s="218" t="s">
        <v>124</v>
      </c>
      <c r="E179" s="218">
        <v>335000</v>
      </c>
      <c r="F179" s="294">
        <f t="shared" si="6"/>
        <v>561.89857982230592</v>
      </c>
      <c r="G179" s="218">
        <v>596.19299999999998</v>
      </c>
      <c r="H179" s="218" t="s">
        <v>152</v>
      </c>
      <c r="I179" s="218" t="s">
        <v>149</v>
      </c>
      <c r="J179" s="77" t="s">
        <v>100</v>
      </c>
      <c r="K179" s="218" t="s">
        <v>159</v>
      </c>
      <c r="L179" s="77" t="s">
        <v>160</v>
      </c>
      <c r="M179" s="77"/>
      <c r="N179" s="77"/>
    </row>
    <row r="180" spans="1:14" ht="15.65" customHeight="1">
      <c r="A180" s="217">
        <v>45688</v>
      </c>
      <c r="B180" s="218" t="s">
        <v>118</v>
      </c>
      <c r="C180" s="218" t="s">
        <v>130</v>
      </c>
      <c r="D180" s="218" t="s">
        <v>124</v>
      </c>
      <c r="E180" s="218">
        <v>400000</v>
      </c>
      <c r="F180" s="294">
        <f t="shared" si="6"/>
        <v>670.92367739976817</v>
      </c>
      <c r="G180" s="218">
        <v>596.19299999999998</v>
      </c>
      <c r="H180" s="218" t="s">
        <v>152</v>
      </c>
      <c r="I180" s="218" t="s">
        <v>150</v>
      </c>
      <c r="J180" s="77" t="s">
        <v>100</v>
      </c>
      <c r="K180" s="218" t="s">
        <v>159</v>
      </c>
      <c r="L180" s="77" t="s">
        <v>160</v>
      </c>
      <c r="M180" s="77"/>
      <c r="N180" s="77"/>
    </row>
    <row r="181" spans="1:14" ht="15.65" customHeight="1">
      <c r="A181" s="217">
        <v>45688</v>
      </c>
      <c r="B181" s="218" t="s">
        <v>119</v>
      </c>
      <c r="C181" s="218" t="s">
        <v>130</v>
      </c>
      <c r="D181" s="218" t="s">
        <v>124</v>
      </c>
      <c r="E181" s="218">
        <v>255000</v>
      </c>
      <c r="F181" s="294">
        <f t="shared" si="6"/>
        <v>427.71384434235222</v>
      </c>
      <c r="G181" s="218">
        <v>596.19299999999998</v>
      </c>
      <c r="H181" s="218" t="s">
        <v>152</v>
      </c>
      <c r="I181" s="218" t="s">
        <v>151</v>
      </c>
      <c r="J181" s="77" t="s">
        <v>100</v>
      </c>
      <c r="K181" s="218" t="s">
        <v>159</v>
      </c>
      <c r="L181" s="77" t="s">
        <v>160</v>
      </c>
      <c r="M181" s="77"/>
      <c r="N181" s="77"/>
    </row>
    <row r="182" spans="1:14">
      <c r="A182" s="217">
        <v>45691</v>
      </c>
      <c r="B182" s="218" t="s">
        <v>602</v>
      </c>
      <c r="C182" s="218" t="s">
        <v>156</v>
      </c>
      <c r="D182" s="218" t="s">
        <v>122</v>
      </c>
      <c r="E182" s="218">
        <v>42000</v>
      </c>
      <c r="F182" s="219">
        <f t="shared" ref="F182:F213" si="7">E182/G182</f>
        <v>70.446986126975659</v>
      </c>
      <c r="G182" s="218">
        <v>596.19299999999998</v>
      </c>
      <c r="H182" s="77" t="s">
        <v>162</v>
      </c>
      <c r="I182" s="77" t="s">
        <v>603</v>
      </c>
      <c r="J182" s="218" t="s">
        <v>100</v>
      </c>
      <c r="K182" s="218" t="s">
        <v>159</v>
      </c>
      <c r="L182" s="218" t="s">
        <v>160</v>
      </c>
    </row>
    <row r="183" spans="1:14">
      <c r="A183" s="217">
        <v>45691</v>
      </c>
      <c r="B183" s="218" t="s">
        <v>604</v>
      </c>
      <c r="C183" s="218" t="s">
        <v>156</v>
      </c>
      <c r="D183" s="218" t="s">
        <v>120</v>
      </c>
      <c r="E183" s="218">
        <v>74000</v>
      </c>
      <c r="F183" s="219">
        <f t="shared" si="7"/>
        <v>124.12088031895712</v>
      </c>
      <c r="G183" s="218">
        <v>596.19299999999998</v>
      </c>
      <c r="H183" s="77" t="s">
        <v>162</v>
      </c>
      <c r="I183" s="77" t="s">
        <v>605</v>
      </c>
      <c r="J183" s="218" t="s">
        <v>100</v>
      </c>
      <c r="K183" s="218" t="s">
        <v>159</v>
      </c>
      <c r="L183" s="218" t="s">
        <v>160</v>
      </c>
    </row>
    <row r="184" spans="1:14">
      <c r="A184" s="217">
        <v>45691</v>
      </c>
      <c r="B184" s="218" t="s">
        <v>606</v>
      </c>
      <c r="C184" s="218" t="s">
        <v>156</v>
      </c>
      <c r="D184" s="218" t="s">
        <v>124</v>
      </c>
      <c r="E184" s="218">
        <v>88000</v>
      </c>
      <c r="F184" s="219">
        <f t="shared" si="7"/>
        <v>147.60320902794902</v>
      </c>
      <c r="G184" s="218">
        <v>596.19299999999998</v>
      </c>
      <c r="H184" s="77" t="s">
        <v>162</v>
      </c>
      <c r="I184" s="77" t="s">
        <v>607</v>
      </c>
      <c r="J184" s="218" t="s">
        <v>100</v>
      </c>
      <c r="K184" s="218" t="s">
        <v>159</v>
      </c>
      <c r="L184" s="218" t="s">
        <v>160</v>
      </c>
    </row>
    <row r="185" spans="1:14">
      <c r="A185" s="217">
        <v>45691</v>
      </c>
      <c r="B185" s="218" t="s">
        <v>608</v>
      </c>
      <c r="C185" s="218" t="s">
        <v>156</v>
      </c>
      <c r="D185" s="218" t="s">
        <v>123</v>
      </c>
      <c r="E185" s="218">
        <v>10000</v>
      </c>
      <c r="F185" s="219">
        <f t="shared" si="7"/>
        <v>16.773091934994206</v>
      </c>
      <c r="G185" s="218">
        <v>596.19299999999998</v>
      </c>
      <c r="H185" s="77" t="s">
        <v>162</v>
      </c>
      <c r="I185" s="77" t="s">
        <v>609</v>
      </c>
      <c r="J185" s="218" t="s">
        <v>100</v>
      </c>
      <c r="K185" s="218" t="s">
        <v>159</v>
      </c>
      <c r="L185" s="218" t="s">
        <v>160</v>
      </c>
    </row>
    <row r="186" spans="1:14">
      <c r="A186" s="217">
        <v>45691</v>
      </c>
      <c r="B186" s="218" t="s">
        <v>610</v>
      </c>
      <c r="C186" s="218" t="s">
        <v>156</v>
      </c>
      <c r="D186" s="218" t="s">
        <v>120</v>
      </c>
      <c r="E186" s="218">
        <v>10000</v>
      </c>
      <c r="F186" s="219">
        <f t="shared" si="7"/>
        <v>16.773091934994206</v>
      </c>
      <c r="G186" s="218">
        <v>596.19299999999998</v>
      </c>
      <c r="H186" s="77" t="s">
        <v>162</v>
      </c>
      <c r="I186" s="77" t="s">
        <v>611</v>
      </c>
      <c r="J186" s="218" t="s">
        <v>100</v>
      </c>
      <c r="K186" s="218" t="s">
        <v>159</v>
      </c>
      <c r="L186" s="218" t="s">
        <v>160</v>
      </c>
    </row>
    <row r="187" spans="1:14">
      <c r="A187" s="217">
        <v>45691</v>
      </c>
      <c r="B187" s="218" t="s">
        <v>612</v>
      </c>
      <c r="C187" s="218" t="s">
        <v>156</v>
      </c>
      <c r="D187" s="218" t="s">
        <v>124</v>
      </c>
      <c r="E187" s="218">
        <v>16000</v>
      </c>
      <c r="F187" s="219">
        <f t="shared" si="7"/>
        <v>26.836947095990727</v>
      </c>
      <c r="G187" s="218">
        <v>596.19299999999998</v>
      </c>
      <c r="H187" s="77" t="s">
        <v>162</v>
      </c>
      <c r="I187" s="77" t="s">
        <v>613</v>
      </c>
      <c r="J187" s="218" t="s">
        <v>100</v>
      </c>
      <c r="K187" s="218" t="s">
        <v>159</v>
      </c>
      <c r="L187" s="218" t="s">
        <v>160</v>
      </c>
    </row>
    <row r="188" spans="1:14">
      <c r="A188" s="217">
        <v>45691</v>
      </c>
      <c r="B188" s="218" t="s">
        <v>614</v>
      </c>
      <c r="C188" s="218" t="s">
        <v>156</v>
      </c>
      <c r="D188" s="218" t="s">
        <v>123</v>
      </c>
      <c r="E188" s="218">
        <v>11000</v>
      </c>
      <c r="F188" s="219">
        <f t="shared" si="7"/>
        <v>18.450401128493628</v>
      </c>
      <c r="G188" s="218">
        <v>596.19299999999998</v>
      </c>
      <c r="H188" s="77" t="s">
        <v>162</v>
      </c>
      <c r="I188" s="77" t="s">
        <v>615</v>
      </c>
      <c r="J188" s="218" t="s">
        <v>100</v>
      </c>
      <c r="K188" s="218" t="s">
        <v>159</v>
      </c>
      <c r="L188" s="218" t="s">
        <v>160</v>
      </c>
    </row>
    <row r="189" spans="1:14">
      <c r="A189" s="217">
        <v>45692</v>
      </c>
      <c r="B189" s="218" t="s">
        <v>879</v>
      </c>
      <c r="C189" s="218" t="s">
        <v>179</v>
      </c>
      <c r="D189" s="218" t="s">
        <v>120</v>
      </c>
      <c r="E189" s="218">
        <v>7000</v>
      </c>
      <c r="F189" s="219">
        <f t="shared" si="7"/>
        <v>11.741164354495943</v>
      </c>
      <c r="G189" s="218">
        <v>596.19299999999998</v>
      </c>
      <c r="H189" s="77" t="s">
        <v>193</v>
      </c>
      <c r="I189" s="77" t="s">
        <v>880</v>
      </c>
      <c r="J189" s="218" t="s">
        <v>100</v>
      </c>
      <c r="K189" s="218" t="s">
        <v>159</v>
      </c>
      <c r="L189" s="218" t="s">
        <v>160</v>
      </c>
    </row>
    <row r="190" spans="1:14">
      <c r="A190" s="217">
        <v>45692</v>
      </c>
      <c r="B190" s="218" t="s">
        <v>620</v>
      </c>
      <c r="C190" s="218" t="s">
        <v>263</v>
      </c>
      <c r="D190" s="218" t="s">
        <v>120</v>
      </c>
      <c r="E190" s="218">
        <v>70000</v>
      </c>
      <c r="F190" s="219">
        <f t="shared" si="7"/>
        <v>117.41164354495943</v>
      </c>
      <c r="G190" s="218">
        <v>596.19299999999998</v>
      </c>
      <c r="H190" s="77" t="s">
        <v>193</v>
      </c>
      <c r="I190" s="77" t="s">
        <v>621</v>
      </c>
      <c r="J190" s="218" t="s">
        <v>100</v>
      </c>
      <c r="K190" s="218" t="s">
        <v>159</v>
      </c>
      <c r="L190" s="218" t="s">
        <v>160</v>
      </c>
    </row>
    <row r="191" spans="1:14">
      <c r="A191" s="217">
        <v>45692</v>
      </c>
      <c r="B191" s="218" t="s">
        <v>926</v>
      </c>
      <c r="C191" s="218" t="s">
        <v>179</v>
      </c>
      <c r="D191" s="218" t="s">
        <v>120</v>
      </c>
      <c r="E191" s="218">
        <v>7000</v>
      </c>
      <c r="F191" s="219">
        <f t="shared" si="7"/>
        <v>11.741164354495943</v>
      </c>
      <c r="G191" s="218">
        <v>596.19299999999998</v>
      </c>
      <c r="H191" s="77" t="s">
        <v>199</v>
      </c>
      <c r="I191" s="77" t="s">
        <v>927</v>
      </c>
      <c r="J191" s="218" t="s">
        <v>100</v>
      </c>
      <c r="K191" s="218" t="s">
        <v>159</v>
      </c>
      <c r="L191" s="218" t="s">
        <v>160</v>
      </c>
    </row>
    <row r="192" spans="1:14">
      <c r="A192" s="217">
        <v>45692</v>
      </c>
      <c r="B192" s="218" t="s">
        <v>103</v>
      </c>
      <c r="C192" s="218" t="s">
        <v>312</v>
      </c>
      <c r="D192" s="218" t="s">
        <v>121</v>
      </c>
      <c r="E192" s="218">
        <v>260000</v>
      </c>
      <c r="F192" s="219">
        <f t="shared" si="7"/>
        <v>436.10039030984933</v>
      </c>
      <c r="G192" s="218">
        <v>596.19299999999998</v>
      </c>
      <c r="H192" s="77" t="s">
        <v>152</v>
      </c>
      <c r="I192" s="77" t="s">
        <v>511</v>
      </c>
      <c r="J192" s="218" t="s">
        <v>100</v>
      </c>
      <c r="K192" s="218" t="s">
        <v>159</v>
      </c>
      <c r="L192" s="218" t="s">
        <v>160</v>
      </c>
    </row>
    <row r="193" spans="1:12">
      <c r="A193" s="217">
        <v>45692</v>
      </c>
      <c r="B193" s="218" t="s">
        <v>989</v>
      </c>
      <c r="C193" s="218" t="s">
        <v>179</v>
      </c>
      <c r="D193" s="218" t="s">
        <v>124</v>
      </c>
      <c r="E193" s="218">
        <v>9000</v>
      </c>
      <c r="F193" s="219">
        <f t="shared" si="7"/>
        <v>15.095782741494785</v>
      </c>
      <c r="G193" s="218">
        <v>596.19299999999998</v>
      </c>
      <c r="H193" s="77" t="s">
        <v>327</v>
      </c>
      <c r="I193" s="77" t="s">
        <v>938</v>
      </c>
      <c r="J193" s="218" t="s">
        <v>100</v>
      </c>
      <c r="K193" s="218" t="s">
        <v>159</v>
      </c>
      <c r="L193" s="218" t="s">
        <v>160</v>
      </c>
    </row>
    <row r="194" spans="1:12">
      <c r="A194" s="217">
        <v>45693</v>
      </c>
      <c r="B194" s="218" t="s">
        <v>1002</v>
      </c>
      <c r="C194" s="218" t="s">
        <v>179</v>
      </c>
      <c r="D194" s="218" t="s">
        <v>124</v>
      </c>
      <c r="E194" s="218">
        <v>6000</v>
      </c>
      <c r="F194" s="219">
        <f t="shared" si="7"/>
        <v>10.063855160996523</v>
      </c>
      <c r="G194" s="218">
        <v>596.19299999999998</v>
      </c>
      <c r="H194" s="77" t="s">
        <v>190</v>
      </c>
      <c r="I194" s="77" t="s">
        <v>811</v>
      </c>
      <c r="J194" s="218" t="s">
        <v>100</v>
      </c>
      <c r="K194" s="218" t="s">
        <v>159</v>
      </c>
      <c r="L194" s="218" t="s">
        <v>160</v>
      </c>
    </row>
    <row r="195" spans="1:12">
      <c r="A195" s="217">
        <v>45693</v>
      </c>
      <c r="B195" s="218" t="s">
        <v>625</v>
      </c>
      <c r="C195" s="218" t="s">
        <v>177</v>
      </c>
      <c r="D195" s="218" t="s">
        <v>121</v>
      </c>
      <c r="E195" s="218">
        <v>25000</v>
      </c>
      <c r="F195" s="219">
        <f t="shared" si="7"/>
        <v>41.93272983748551</v>
      </c>
      <c r="G195" s="218">
        <v>596.19299999999998</v>
      </c>
      <c r="H195" s="77" t="s">
        <v>162</v>
      </c>
      <c r="I195" s="77" t="s">
        <v>626</v>
      </c>
      <c r="J195" s="218" t="s">
        <v>100</v>
      </c>
      <c r="K195" s="218" t="s">
        <v>159</v>
      </c>
      <c r="L195" s="218" t="s">
        <v>160</v>
      </c>
    </row>
    <row r="196" spans="1:12">
      <c r="A196" s="217">
        <v>45693</v>
      </c>
      <c r="B196" s="218" t="s">
        <v>627</v>
      </c>
      <c r="C196" s="218" t="s">
        <v>177</v>
      </c>
      <c r="D196" s="218" t="s">
        <v>121</v>
      </c>
      <c r="E196" s="218">
        <v>63000</v>
      </c>
      <c r="F196" s="219">
        <f t="shared" si="7"/>
        <v>105.6704791904635</v>
      </c>
      <c r="G196" s="218">
        <v>596.19299999999998</v>
      </c>
      <c r="H196" s="77" t="s">
        <v>162</v>
      </c>
      <c r="I196" s="77" t="s">
        <v>628</v>
      </c>
      <c r="J196" s="218" t="s">
        <v>100</v>
      </c>
      <c r="K196" s="218" t="s">
        <v>159</v>
      </c>
      <c r="L196" s="218" t="s">
        <v>160</v>
      </c>
    </row>
    <row r="197" spans="1:12">
      <c r="A197" s="217">
        <v>45693</v>
      </c>
      <c r="B197" s="218" t="s">
        <v>982</v>
      </c>
      <c r="C197" s="218" t="s">
        <v>183</v>
      </c>
      <c r="D197" s="218" t="s">
        <v>124</v>
      </c>
      <c r="E197" s="218">
        <v>230000</v>
      </c>
      <c r="F197" s="219">
        <f t="shared" si="7"/>
        <v>385.78111450486671</v>
      </c>
      <c r="G197" s="218">
        <v>596.19299999999998</v>
      </c>
      <c r="H197" s="77" t="s">
        <v>190</v>
      </c>
      <c r="I197" s="77" t="s">
        <v>812</v>
      </c>
      <c r="J197" s="218" t="s">
        <v>100</v>
      </c>
      <c r="K197" s="218" t="s">
        <v>159</v>
      </c>
      <c r="L197" s="218" t="s">
        <v>160</v>
      </c>
    </row>
    <row r="198" spans="1:12">
      <c r="A198" s="217">
        <v>45693</v>
      </c>
      <c r="B198" s="218" t="s">
        <v>1001</v>
      </c>
      <c r="C198" s="218" t="s">
        <v>183</v>
      </c>
      <c r="D198" s="218" t="s">
        <v>124</v>
      </c>
      <c r="E198" s="218">
        <v>70000</v>
      </c>
      <c r="F198" s="219">
        <f t="shared" si="7"/>
        <v>117.41164354495943</v>
      </c>
      <c r="G198" s="218">
        <v>596.19299999999998</v>
      </c>
      <c r="H198" s="77" t="s">
        <v>327</v>
      </c>
      <c r="I198" s="77" t="s">
        <v>937</v>
      </c>
      <c r="J198" s="218" t="s">
        <v>100</v>
      </c>
      <c r="K198" s="218" t="s">
        <v>159</v>
      </c>
      <c r="L198" s="218" t="s">
        <v>160</v>
      </c>
    </row>
    <row r="199" spans="1:12">
      <c r="A199" s="217">
        <v>45693</v>
      </c>
      <c r="B199" s="218" t="s">
        <v>989</v>
      </c>
      <c r="C199" s="218" t="s">
        <v>179</v>
      </c>
      <c r="D199" s="218" t="s">
        <v>124</v>
      </c>
      <c r="E199" s="218">
        <v>5000</v>
      </c>
      <c r="F199" s="219">
        <f t="shared" si="7"/>
        <v>8.3865459674971028</v>
      </c>
      <c r="G199" s="218">
        <v>596.19299999999998</v>
      </c>
      <c r="H199" s="77" t="s">
        <v>327</v>
      </c>
      <c r="I199" s="77" t="s">
        <v>938</v>
      </c>
      <c r="J199" s="218" t="s">
        <v>100</v>
      </c>
      <c r="K199" s="218" t="s">
        <v>159</v>
      </c>
      <c r="L199" s="218" t="s">
        <v>160</v>
      </c>
    </row>
    <row r="200" spans="1:12">
      <c r="A200" s="217">
        <v>45693</v>
      </c>
      <c r="B200" s="218" t="s">
        <v>881</v>
      </c>
      <c r="C200" s="218" t="s">
        <v>183</v>
      </c>
      <c r="D200" s="218" t="s">
        <v>120</v>
      </c>
      <c r="E200" s="218">
        <v>20000</v>
      </c>
      <c r="F200" s="219">
        <f t="shared" si="7"/>
        <v>33.546183869988411</v>
      </c>
      <c r="G200" s="218">
        <v>596.19299999999998</v>
      </c>
      <c r="H200" s="77" t="s">
        <v>193</v>
      </c>
      <c r="I200" s="77" t="s">
        <v>882</v>
      </c>
      <c r="J200" s="218" t="s">
        <v>100</v>
      </c>
      <c r="K200" s="218" t="s">
        <v>159</v>
      </c>
      <c r="L200" s="218" t="s">
        <v>160</v>
      </c>
    </row>
    <row r="201" spans="1:12">
      <c r="A201" s="217">
        <v>45693</v>
      </c>
      <c r="B201" s="218" t="s">
        <v>928</v>
      </c>
      <c r="C201" s="218" t="s">
        <v>183</v>
      </c>
      <c r="D201" s="218" t="s">
        <v>120</v>
      </c>
      <c r="E201" s="218">
        <v>20000</v>
      </c>
      <c r="F201" s="219">
        <f t="shared" si="7"/>
        <v>33.546183869988411</v>
      </c>
      <c r="G201" s="218">
        <v>596.19299999999998</v>
      </c>
      <c r="H201" s="77" t="s">
        <v>199</v>
      </c>
      <c r="I201" s="77" t="s">
        <v>929</v>
      </c>
      <c r="J201" s="218" t="s">
        <v>100</v>
      </c>
      <c r="K201" s="218" t="s">
        <v>159</v>
      </c>
      <c r="L201" s="218" t="s">
        <v>160</v>
      </c>
    </row>
    <row r="202" spans="1:12">
      <c r="A202" s="217">
        <v>45693</v>
      </c>
      <c r="B202" s="218" t="s">
        <v>102</v>
      </c>
      <c r="C202" s="218" t="s">
        <v>129</v>
      </c>
      <c r="D202" s="218" t="s">
        <v>121</v>
      </c>
      <c r="E202" s="218">
        <v>500000</v>
      </c>
      <c r="F202" s="219">
        <f t="shared" si="7"/>
        <v>838.65459674971032</v>
      </c>
      <c r="G202" s="218">
        <v>596.19299999999998</v>
      </c>
      <c r="H202" s="77" t="s">
        <v>152</v>
      </c>
      <c r="I202" s="77" t="s">
        <v>514</v>
      </c>
      <c r="J202" s="218" t="s">
        <v>100</v>
      </c>
      <c r="K202" s="218" t="s">
        <v>159</v>
      </c>
      <c r="L202" s="218" t="s">
        <v>160</v>
      </c>
    </row>
    <row r="203" spans="1:12">
      <c r="A203" s="217">
        <v>45694</v>
      </c>
      <c r="B203" s="218" t="s">
        <v>1012</v>
      </c>
      <c r="C203" s="218" t="s">
        <v>179</v>
      </c>
      <c r="D203" s="218" t="s">
        <v>124</v>
      </c>
      <c r="E203" s="218">
        <v>9000</v>
      </c>
      <c r="F203" s="219">
        <f t="shared" si="7"/>
        <v>15.095782741494785</v>
      </c>
      <c r="G203" s="218">
        <v>596.19299999999998</v>
      </c>
      <c r="H203" s="77" t="s">
        <v>181</v>
      </c>
      <c r="I203" s="77" t="s">
        <v>840</v>
      </c>
      <c r="J203" s="218" t="s">
        <v>100</v>
      </c>
      <c r="K203" s="218" t="s">
        <v>159</v>
      </c>
      <c r="L203" s="218" t="s">
        <v>160</v>
      </c>
    </row>
    <row r="204" spans="1:12">
      <c r="A204" s="217">
        <v>45694</v>
      </c>
      <c r="B204" s="218" t="s">
        <v>1008</v>
      </c>
      <c r="C204" s="218" t="s">
        <v>469</v>
      </c>
      <c r="D204" s="218" t="s">
        <v>124</v>
      </c>
      <c r="E204" s="218">
        <v>190000</v>
      </c>
      <c r="F204" s="219">
        <f t="shared" si="7"/>
        <v>318.68874676488991</v>
      </c>
      <c r="G204" s="218">
        <v>596.19299999999998</v>
      </c>
      <c r="H204" s="77" t="s">
        <v>181</v>
      </c>
      <c r="I204" s="77" t="s">
        <v>841</v>
      </c>
      <c r="J204" s="218" t="s">
        <v>100</v>
      </c>
      <c r="K204" s="218" t="s">
        <v>159</v>
      </c>
      <c r="L204" s="218" t="s">
        <v>160</v>
      </c>
    </row>
    <row r="205" spans="1:12">
      <c r="A205" s="217">
        <v>45694</v>
      </c>
      <c r="B205" s="218" t="s">
        <v>549</v>
      </c>
      <c r="C205" s="218" t="s">
        <v>325</v>
      </c>
      <c r="D205" s="218" t="s">
        <v>123</v>
      </c>
      <c r="E205" s="218">
        <v>148000</v>
      </c>
      <c r="F205" s="219">
        <f t="shared" si="7"/>
        <v>248.24176063791424</v>
      </c>
      <c r="G205" s="218">
        <v>596.19299999999998</v>
      </c>
      <c r="H205" s="77" t="s">
        <v>220</v>
      </c>
      <c r="I205" s="77" t="s">
        <v>550</v>
      </c>
      <c r="J205" s="218" t="s">
        <v>100</v>
      </c>
      <c r="K205" s="218" t="s">
        <v>159</v>
      </c>
      <c r="L205" s="218" t="s">
        <v>160</v>
      </c>
    </row>
    <row r="206" spans="1:12">
      <c r="A206" s="217">
        <v>45695</v>
      </c>
      <c r="B206" s="218" t="s">
        <v>1002</v>
      </c>
      <c r="C206" s="218" t="s">
        <v>179</v>
      </c>
      <c r="D206" s="218" t="s">
        <v>124</v>
      </c>
      <c r="E206" s="218">
        <v>5000</v>
      </c>
      <c r="F206" s="219">
        <f t="shared" si="7"/>
        <v>8.3865459674971028</v>
      </c>
      <c r="G206" s="218">
        <v>596.19299999999998</v>
      </c>
      <c r="H206" s="77" t="s">
        <v>190</v>
      </c>
      <c r="I206" s="77" t="s">
        <v>814</v>
      </c>
      <c r="J206" s="218" t="s">
        <v>100</v>
      </c>
      <c r="K206" s="218" t="s">
        <v>159</v>
      </c>
      <c r="L206" s="218" t="s">
        <v>160</v>
      </c>
    </row>
    <row r="207" spans="1:12">
      <c r="A207" s="217">
        <v>45695</v>
      </c>
      <c r="B207" s="218" t="s">
        <v>1003</v>
      </c>
      <c r="C207" s="218" t="s">
        <v>183</v>
      </c>
      <c r="D207" s="218" t="s">
        <v>124</v>
      </c>
      <c r="E207" s="218">
        <v>30000</v>
      </c>
      <c r="F207" s="219">
        <f t="shared" si="7"/>
        <v>50.319275804982617</v>
      </c>
      <c r="G207" s="218">
        <v>596.19299999999998</v>
      </c>
      <c r="H207" s="77" t="s">
        <v>190</v>
      </c>
      <c r="I207" s="77" t="s">
        <v>815</v>
      </c>
      <c r="J207" s="218" t="s">
        <v>100</v>
      </c>
      <c r="K207" s="218" t="s">
        <v>159</v>
      </c>
      <c r="L207" s="218" t="s">
        <v>160</v>
      </c>
    </row>
    <row r="208" spans="1:12">
      <c r="A208" s="217">
        <v>45695</v>
      </c>
      <c r="B208" s="218" t="s">
        <v>998</v>
      </c>
      <c r="C208" s="218" t="s">
        <v>183</v>
      </c>
      <c r="D208" s="218" t="s">
        <v>124</v>
      </c>
      <c r="E208" s="218">
        <v>30000</v>
      </c>
      <c r="F208" s="219">
        <f t="shared" si="7"/>
        <v>50.319275804982617</v>
      </c>
      <c r="G208" s="218">
        <v>596.19299999999998</v>
      </c>
      <c r="H208" s="77" t="s">
        <v>327</v>
      </c>
      <c r="I208" s="77" t="s">
        <v>938</v>
      </c>
      <c r="J208" s="218" t="s">
        <v>100</v>
      </c>
      <c r="K208" s="218" t="s">
        <v>159</v>
      </c>
      <c r="L208" s="218" t="s">
        <v>160</v>
      </c>
    </row>
    <row r="209" spans="1:12">
      <c r="A209" s="217">
        <v>45695</v>
      </c>
      <c r="B209" s="218" t="s">
        <v>989</v>
      </c>
      <c r="C209" s="218" t="s">
        <v>179</v>
      </c>
      <c r="D209" s="218" t="s">
        <v>124</v>
      </c>
      <c r="E209" s="218">
        <v>5000</v>
      </c>
      <c r="F209" s="219">
        <f t="shared" si="7"/>
        <v>8.3865459674971028</v>
      </c>
      <c r="G209" s="218">
        <v>596.19299999999998</v>
      </c>
      <c r="H209" s="77" t="s">
        <v>327</v>
      </c>
      <c r="I209" s="77" t="s">
        <v>940</v>
      </c>
      <c r="J209" s="218" t="s">
        <v>100</v>
      </c>
      <c r="K209" s="218" t="s">
        <v>159</v>
      </c>
      <c r="L209" s="218" t="s">
        <v>160</v>
      </c>
    </row>
    <row r="210" spans="1:12">
      <c r="A210" s="217">
        <v>45695</v>
      </c>
      <c r="B210" s="218" t="s">
        <v>989</v>
      </c>
      <c r="C210" s="218" t="s">
        <v>179</v>
      </c>
      <c r="D210" s="218" t="s">
        <v>124</v>
      </c>
      <c r="E210" s="218">
        <v>4500</v>
      </c>
      <c r="F210" s="219">
        <f t="shared" si="7"/>
        <v>7.5478913707473927</v>
      </c>
      <c r="G210" s="218">
        <v>596.19299999999998</v>
      </c>
      <c r="H210" s="77" t="s">
        <v>327</v>
      </c>
      <c r="I210" s="77" t="s">
        <v>941</v>
      </c>
      <c r="J210" s="218" t="s">
        <v>100</v>
      </c>
      <c r="K210" s="218" t="s">
        <v>159</v>
      </c>
      <c r="L210" s="218" t="s">
        <v>160</v>
      </c>
    </row>
    <row r="211" spans="1:12">
      <c r="A211" s="217">
        <v>45695</v>
      </c>
      <c r="B211" s="218" t="s">
        <v>883</v>
      </c>
      <c r="C211" s="218" t="s">
        <v>179</v>
      </c>
      <c r="D211" s="218" t="s">
        <v>120</v>
      </c>
      <c r="E211" s="218">
        <v>7000</v>
      </c>
      <c r="F211" s="219">
        <f t="shared" si="7"/>
        <v>11.741164354495943</v>
      </c>
      <c r="G211" s="218">
        <v>596.19299999999998</v>
      </c>
      <c r="H211" s="77" t="s">
        <v>193</v>
      </c>
      <c r="I211" s="77" t="s">
        <v>884</v>
      </c>
      <c r="J211" s="218" t="s">
        <v>100</v>
      </c>
      <c r="K211" s="218" t="s">
        <v>159</v>
      </c>
      <c r="L211" s="218" t="s">
        <v>160</v>
      </c>
    </row>
    <row r="212" spans="1:12">
      <c r="A212" s="217">
        <v>45695</v>
      </c>
      <c r="B212" s="218" t="s">
        <v>885</v>
      </c>
      <c r="C212" s="218" t="s">
        <v>183</v>
      </c>
      <c r="D212" s="218" t="s">
        <v>120</v>
      </c>
      <c r="E212" s="218">
        <v>30000</v>
      </c>
      <c r="F212" s="219">
        <f t="shared" si="7"/>
        <v>50.319275804982617</v>
      </c>
      <c r="G212" s="218">
        <v>596.19299999999998</v>
      </c>
      <c r="H212" s="77" t="s">
        <v>193</v>
      </c>
      <c r="I212" s="77" t="s">
        <v>886</v>
      </c>
      <c r="J212" s="218" t="s">
        <v>100</v>
      </c>
      <c r="K212" s="218" t="s">
        <v>159</v>
      </c>
      <c r="L212" s="218" t="s">
        <v>160</v>
      </c>
    </row>
    <row r="213" spans="1:12">
      <c r="A213" s="217">
        <v>45695</v>
      </c>
      <c r="B213" s="218" t="s">
        <v>930</v>
      </c>
      <c r="C213" s="218" t="s">
        <v>179</v>
      </c>
      <c r="D213" s="218" t="s">
        <v>120</v>
      </c>
      <c r="E213" s="218">
        <v>7000</v>
      </c>
      <c r="F213" s="219">
        <f t="shared" si="7"/>
        <v>11.741164354495943</v>
      </c>
      <c r="G213" s="218">
        <v>596.19299999999998</v>
      </c>
      <c r="H213" s="77" t="s">
        <v>199</v>
      </c>
      <c r="I213" s="77" t="s">
        <v>931</v>
      </c>
      <c r="J213" s="218" t="s">
        <v>100</v>
      </c>
      <c r="K213" s="218" t="s">
        <v>159</v>
      </c>
      <c r="L213" s="218" t="s">
        <v>160</v>
      </c>
    </row>
    <row r="214" spans="1:12">
      <c r="A214" s="217">
        <v>45695</v>
      </c>
      <c r="B214" s="218" t="s">
        <v>932</v>
      </c>
      <c r="C214" s="218" t="s">
        <v>183</v>
      </c>
      <c r="D214" s="218" t="s">
        <v>120</v>
      </c>
      <c r="E214" s="218">
        <v>30000</v>
      </c>
      <c r="F214" s="219">
        <f t="shared" ref="F214:F245" si="8">E214/G214</f>
        <v>50.319275804982617</v>
      </c>
      <c r="G214" s="218">
        <v>596.19299999999998</v>
      </c>
      <c r="H214" s="77" t="s">
        <v>199</v>
      </c>
      <c r="I214" s="77" t="s">
        <v>933</v>
      </c>
      <c r="J214" s="218" t="s">
        <v>100</v>
      </c>
      <c r="K214" s="218" t="s">
        <v>159</v>
      </c>
      <c r="L214" s="218" t="s">
        <v>160</v>
      </c>
    </row>
    <row r="215" spans="1:12">
      <c r="A215" s="217">
        <v>45695</v>
      </c>
      <c r="B215" s="218" t="s">
        <v>198</v>
      </c>
      <c r="C215" s="218" t="s">
        <v>188</v>
      </c>
      <c r="D215" s="218" t="s">
        <v>121</v>
      </c>
      <c r="E215" s="218">
        <v>4830.0000000000009</v>
      </c>
      <c r="F215" s="219">
        <f t="shared" si="8"/>
        <v>8.1014034046022019</v>
      </c>
      <c r="G215" s="218">
        <v>596.19299999999998</v>
      </c>
      <c r="H215" s="77" t="s">
        <v>196</v>
      </c>
      <c r="I215" s="77" t="s">
        <v>555</v>
      </c>
      <c r="J215" s="218" t="s">
        <v>100</v>
      </c>
      <c r="K215" s="218" t="s">
        <v>159</v>
      </c>
      <c r="L215" s="218" t="s">
        <v>160</v>
      </c>
    </row>
    <row r="216" spans="1:12">
      <c r="A216" s="217">
        <v>45695</v>
      </c>
      <c r="B216" s="218" t="s">
        <v>974</v>
      </c>
      <c r="C216" s="218" t="s">
        <v>188</v>
      </c>
      <c r="D216" s="218" t="s">
        <v>121</v>
      </c>
      <c r="E216" s="269">
        <v>13615</v>
      </c>
      <c r="F216" s="219">
        <f t="shared" si="8"/>
        <v>22.180704562790044</v>
      </c>
      <c r="G216" s="220">
        <v>613.82180000000005</v>
      </c>
      <c r="H216" s="77" t="s">
        <v>199</v>
      </c>
      <c r="I216" s="77" t="s">
        <v>719</v>
      </c>
      <c r="J216" s="218" t="s">
        <v>100</v>
      </c>
      <c r="K216" s="218" t="s">
        <v>451</v>
      </c>
      <c r="L216" s="218" t="s">
        <v>160</v>
      </c>
    </row>
    <row r="217" spans="1:12">
      <c r="A217" s="217">
        <v>45696</v>
      </c>
      <c r="B217" s="218" t="s">
        <v>985</v>
      </c>
      <c r="C217" s="218" t="s">
        <v>179</v>
      </c>
      <c r="D217" s="218" t="s">
        <v>124</v>
      </c>
      <c r="E217" s="218">
        <v>8000</v>
      </c>
      <c r="F217" s="219">
        <f t="shared" si="8"/>
        <v>13.418473547995363</v>
      </c>
      <c r="G217" s="218">
        <v>596.19299999999998</v>
      </c>
      <c r="H217" s="77" t="s">
        <v>333</v>
      </c>
      <c r="I217" s="77" t="s">
        <v>861</v>
      </c>
      <c r="J217" s="218" t="s">
        <v>100</v>
      </c>
      <c r="K217" s="218" t="s">
        <v>159</v>
      </c>
      <c r="L217" s="218" t="s">
        <v>160</v>
      </c>
    </row>
    <row r="218" spans="1:12">
      <c r="A218" s="217">
        <v>45696</v>
      </c>
      <c r="B218" s="218" t="s">
        <v>971</v>
      </c>
      <c r="C218" s="218" t="s">
        <v>469</v>
      </c>
      <c r="D218" s="218" t="s">
        <v>124</v>
      </c>
      <c r="E218" s="218">
        <v>70000</v>
      </c>
      <c r="F218" s="219">
        <f t="shared" si="8"/>
        <v>117.41164354495943</v>
      </c>
      <c r="G218" s="218">
        <v>596.19299999999998</v>
      </c>
      <c r="H218" s="77" t="s">
        <v>333</v>
      </c>
      <c r="I218" s="77" t="s">
        <v>863</v>
      </c>
      <c r="J218" s="218" t="s">
        <v>100</v>
      </c>
      <c r="K218" s="218" t="s">
        <v>159</v>
      </c>
      <c r="L218" s="218" t="s">
        <v>160</v>
      </c>
    </row>
    <row r="219" spans="1:12">
      <c r="A219" s="217">
        <v>45696</v>
      </c>
      <c r="B219" s="218" t="s">
        <v>985</v>
      </c>
      <c r="C219" s="218" t="s">
        <v>179</v>
      </c>
      <c r="D219" s="218" t="s">
        <v>124</v>
      </c>
      <c r="E219" s="218">
        <v>4000</v>
      </c>
      <c r="F219" s="219">
        <f t="shared" si="8"/>
        <v>6.7092367739976817</v>
      </c>
      <c r="G219" s="218">
        <v>596.19299999999998</v>
      </c>
      <c r="H219" s="77" t="s">
        <v>333</v>
      </c>
      <c r="I219" s="77" t="s">
        <v>865</v>
      </c>
      <c r="J219" s="218" t="s">
        <v>100</v>
      </c>
      <c r="K219" s="218" t="s">
        <v>159</v>
      </c>
      <c r="L219" s="218" t="s">
        <v>160</v>
      </c>
    </row>
    <row r="220" spans="1:12">
      <c r="A220" s="217">
        <v>45697</v>
      </c>
      <c r="B220" s="218" t="s">
        <v>1004</v>
      </c>
      <c r="C220" s="218" t="s">
        <v>183</v>
      </c>
      <c r="D220" s="218" t="s">
        <v>124</v>
      </c>
      <c r="E220" s="218">
        <v>30000</v>
      </c>
      <c r="F220" s="219">
        <f t="shared" si="8"/>
        <v>50.319275804982617</v>
      </c>
      <c r="G220" s="218">
        <v>596.19299999999998</v>
      </c>
      <c r="H220" s="77" t="s">
        <v>190</v>
      </c>
      <c r="I220" s="77" t="s">
        <v>816</v>
      </c>
      <c r="J220" s="218" t="s">
        <v>100</v>
      </c>
      <c r="K220" s="218" t="s">
        <v>159</v>
      </c>
      <c r="L220" s="218" t="s">
        <v>160</v>
      </c>
    </row>
    <row r="221" spans="1:12">
      <c r="A221" s="217">
        <v>45697</v>
      </c>
      <c r="B221" s="218" t="s">
        <v>1002</v>
      </c>
      <c r="C221" s="218" t="s">
        <v>179</v>
      </c>
      <c r="D221" s="218" t="s">
        <v>124</v>
      </c>
      <c r="E221" s="218">
        <v>5000</v>
      </c>
      <c r="F221" s="219">
        <f t="shared" si="8"/>
        <v>8.3865459674971028</v>
      </c>
      <c r="G221" s="218">
        <v>596.19299999999998</v>
      </c>
      <c r="H221" s="77" t="s">
        <v>190</v>
      </c>
      <c r="I221" s="77" t="s">
        <v>817</v>
      </c>
      <c r="J221" s="218" t="s">
        <v>100</v>
      </c>
      <c r="K221" s="218" t="s">
        <v>159</v>
      </c>
      <c r="L221" s="218" t="s">
        <v>160</v>
      </c>
    </row>
    <row r="222" spans="1:12">
      <c r="A222" s="217">
        <v>45697</v>
      </c>
      <c r="B222" s="218" t="s">
        <v>818</v>
      </c>
      <c r="C222" s="218" t="s">
        <v>379</v>
      </c>
      <c r="D222" s="218" t="s">
        <v>124</v>
      </c>
      <c r="E222" s="218">
        <v>39500</v>
      </c>
      <c r="F222" s="219">
        <f t="shared" si="8"/>
        <v>66.253713143227117</v>
      </c>
      <c r="G222" s="218">
        <v>596.19299999999998</v>
      </c>
      <c r="H222" s="77" t="s">
        <v>190</v>
      </c>
      <c r="I222" s="77" t="s">
        <v>819</v>
      </c>
      <c r="J222" s="218" t="s">
        <v>100</v>
      </c>
      <c r="K222" s="218" t="s">
        <v>159</v>
      </c>
      <c r="L222" s="218" t="s">
        <v>160</v>
      </c>
    </row>
    <row r="223" spans="1:12">
      <c r="A223" s="217">
        <v>45697</v>
      </c>
      <c r="B223" s="218" t="s">
        <v>997</v>
      </c>
      <c r="C223" s="218" t="s">
        <v>183</v>
      </c>
      <c r="D223" s="218" t="s">
        <v>124</v>
      </c>
      <c r="E223" s="218">
        <v>30000</v>
      </c>
      <c r="F223" s="219">
        <f t="shared" si="8"/>
        <v>50.319275804982617</v>
      </c>
      <c r="G223" s="218">
        <v>596.19299999999998</v>
      </c>
      <c r="H223" s="77" t="s">
        <v>327</v>
      </c>
      <c r="I223" s="77" t="s">
        <v>942</v>
      </c>
      <c r="J223" s="218" t="s">
        <v>100</v>
      </c>
      <c r="K223" s="218" t="s">
        <v>159</v>
      </c>
      <c r="L223" s="218" t="s">
        <v>160</v>
      </c>
    </row>
    <row r="224" spans="1:12">
      <c r="A224" s="217">
        <v>45697</v>
      </c>
      <c r="B224" s="218" t="s">
        <v>989</v>
      </c>
      <c r="C224" s="218" t="s">
        <v>179</v>
      </c>
      <c r="D224" s="218" t="s">
        <v>124</v>
      </c>
      <c r="E224" s="218">
        <v>3000</v>
      </c>
      <c r="F224" s="219">
        <f t="shared" si="8"/>
        <v>5.0319275804982615</v>
      </c>
      <c r="G224" s="218">
        <v>596.19299999999998</v>
      </c>
      <c r="H224" s="77" t="s">
        <v>327</v>
      </c>
      <c r="I224" s="77" t="s">
        <v>944</v>
      </c>
      <c r="J224" s="218" t="s">
        <v>100</v>
      </c>
      <c r="K224" s="218" t="s">
        <v>159</v>
      </c>
      <c r="L224" s="218" t="s">
        <v>160</v>
      </c>
    </row>
    <row r="225" spans="1:12">
      <c r="A225" s="217">
        <v>45698</v>
      </c>
      <c r="B225" s="218" t="s">
        <v>1005</v>
      </c>
      <c r="C225" s="218" t="s">
        <v>183</v>
      </c>
      <c r="D225" s="218" t="s">
        <v>124</v>
      </c>
      <c r="E225" s="218">
        <v>15000</v>
      </c>
      <c r="F225" s="219">
        <f t="shared" si="8"/>
        <v>25.159637902491308</v>
      </c>
      <c r="G225" s="218">
        <v>596.19299999999998</v>
      </c>
      <c r="H225" s="77" t="s">
        <v>190</v>
      </c>
      <c r="I225" s="77" t="s">
        <v>820</v>
      </c>
      <c r="J225" s="218" t="s">
        <v>100</v>
      </c>
      <c r="K225" s="218" t="s">
        <v>159</v>
      </c>
      <c r="L225" s="218" t="s">
        <v>160</v>
      </c>
    </row>
    <row r="226" spans="1:12">
      <c r="A226" s="217">
        <v>45698</v>
      </c>
      <c r="B226" s="218" t="s">
        <v>1002</v>
      </c>
      <c r="C226" s="218" t="s">
        <v>179</v>
      </c>
      <c r="D226" s="218" t="s">
        <v>124</v>
      </c>
      <c r="E226" s="218">
        <v>5000</v>
      </c>
      <c r="F226" s="219">
        <f t="shared" si="8"/>
        <v>8.3865459674971028</v>
      </c>
      <c r="G226" s="218">
        <v>596.19299999999998</v>
      </c>
      <c r="H226" s="77" t="s">
        <v>190</v>
      </c>
      <c r="I226" s="77" t="s">
        <v>822</v>
      </c>
      <c r="J226" s="218" t="s">
        <v>100</v>
      </c>
      <c r="K226" s="218" t="s">
        <v>159</v>
      </c>
      <c r="L226" s="218" t="s">
        <v>160</v>
      </c>
    </row>
    <row r="227" spans="1:12">
      <c r="A227" s="217">
        <v>45698</v>
      </c>
      <c r="B227" s="218" t="s">
        <v>1009</v>
      </c>
      <c r="C227" s="218" t="s">
        <v>469</v>
      </c>
      <c r="D227" s="218" t="s">
        <v>124</v>
      </c>
      <c r="E227" s="218">
        <v>60000</v>
      </c>
      <c r="F227" s="219">
        <f t="shared" si="8"/>
        <v>100.63855160996523</v>
      </c>
      <c r="G227" s="218">
        <v>596.19299999999998</v>
      </c>
      <c r="H227" s="77" t="s">
        <v>181</v>
      </c>
      <c r="I227" s="77" t="s">
        <v>843</v>
      </c>
      <c r="J227" s="218" t="s">
        <v>100</v>
      </c>
      <c r="K227" s="218" t="s">
        <v>159</v>
      </c>
      <c r="L227" s="218" t="s">
        <v>160</v>
      </c>
    </row>
    <row r="228" spans="1:12">
      <c r="A228" s="217">
        <v>45698</v>
      </c>
      <c r="B228" s="218" t="s">
        <v>1012</v>
      </c>
      <c r="C228" s="218" t="s">
        <v>179</v>
      </c>
      <c r="D228" s="218" t="s">
        <v>124</v>
      </c>
      <c r="E228" s="218">
        <v>3000</v>
      </c>
      <c r="F228" s="219">
        <f t="shared" si="8"/>
        <v>5.0319275804982615</v>
      </c>
      <c r="G228" s="218">
        <v>596.19299999999998</v>
      </c>
      <c r="H228" s="77" t="s">
        <v>181</v>
      </c>
      <c r="I228" s="77" t="s">
        <v>844</v>
      </c>
      <c r="J228" s="218" t="s">
        <v>100</v>
      </c>
      <c r="K228" s="218" t="s">
        <v>159</v>
      </c>
      <c r="L228" s="218" t="s">
        <v>160</v>
      </c>
    </row>
    <row r="229" spans="1:12">
      <c r="A229" s="217">
        <v>45698</v>
      </c>
      <c r="B229" s="218" t="s">
        <v>634</v>
      </c>
      <c r="C229" s="218" t="s">
        <v>188</v>
      </c>
      <c r="D229" s="218" t="s">
        <v>121</v>
      </c>
      <c r="E229" s="218">
        <v>4110</v>
      </c>
      <c r="F229" s="219">
        <f t="shared" si="8"/>
        <v>6.8937407852826187</v>
      </c>
      <c r="G229" s="218">
        <v>596.19299999999998</v>
      </c>
      <c r="H229" s="77" t="s">
        <v>199</v>
      </c>
      <c r="I229" s="77" t="s">
        <v>635</v>
      </c>
      <c r="J229" s="218" t="s">
        <v>100</v>
      </c>
      <c r="K229" s="218" t="s">
        <v>159</v>
      </c>
      <c r="L229" s="218" t="s">
        <v>160</v>
      </c>
    </row>
    <row r="230" spans="1:12">
      <c r="A230" s="217">
        <v>45699</v>
      </c>
      <c r="B230" s="218" t="s">
        <v>640</v>
      </c>
      <c r="C230" s="218" t="s">
        <v>130</v>
      </c>
      <c r="D230" s="218" t="s">
        <v>121</v>
      </c>
      <c r="E230" s="218">
        <v>94430</v>
      </c>
      <c r="F230" s="219">
        <f t="shared" si="8"/>
        <v>158.38830714215027</v>
      </c>
      <c r="G230" s="218">
        <v>596.19299999999998</v>
      </c>
      <c r="H230" s="77" t="s">
        <v>162</v>
      </c>
      <c r="I230" s="77" t="s">
        <v>641</v>
      </c>
      <c r="J230" s="218" t="s">
        <v>100</v>
      </c>
      <c r="K230" s="218" t="s">
        <v>159</v>
      </c>
      <c r="L230" s="218" t="s">
        <v>160</v>
      </c>
    </row>
    <row r="231" spans="1:12">
      <c r="A231" s="217">
        <v>45699</v>
      </c>
      <c r="B231" s="218" t="s">
        <v>642</v>
      </c>
      <c r="C231" s="218" t="s">
        <v>130</v>
      </c>
      <c r="D231" s="218" t="s">
        <v>120</v>
      </c>
      <c r="E231" s="218">
        <v>30000</v>
      </c>
      <c r="F231" s="219">
        <f t="shared" si="8"/>
        <v>50.319275804982617</v>
      </c>
      <c r="G231" s="218">
        <v>596.19299999999998</v>
      </c>
      <c r="H231" s="77" t="s">
        <v>162</v>
      </c>
      <c r="I231" s="77" t="s">
        <v>643</v>
      </c>
      <c r="J231" s="218" t="s">
        <v>100</v>
      </c>
      <c r="K231" s="218" t="s">
        <v>159</v>
      </c>
      <c r="L231" s="218" t="s">
        <v>160</v>
      </c>
    </row>
    <row r="232" spans="1:12">
      <c r="A232" s="217">
        <v>45699</v>
      </c>
      <c r="B232" s="218" t="s">
        <v>644</v>
      </c>
      <c r="C232" s="218" t="s">
        <v>130</v>
      </c>
      <c r="D232" s="218" t="s">
        <v>120</v>
      </c>
      <c r="E232" s="218">
        <v>30000</v>
      </c>
      <c r="F232" s="219">
        <f t="shared" si="8"/>
        <v>50.319275804982617</v>
      </c>
      <c r="G232" s="218">
        <v>596.19299999999998</v>
      </c>
      <c r="H232" s="77" t="s">
        <v>162</v>
      </c>
      <c r="I232" s="77" t="s">
        <v>645</v>
      </c>
      <c r="J232" s="218" t="s">
        <v>100</v>
      </c>
      <c r="K232" s="218" t="s">
        <v>159</v>
      </c>
      <c r="L232" s="218" t="s">
        <v>160</v>
      </c>
    </row>
    <row r="233" spans="1:12">
      <c r="A233" s="217">
        <v>45699</v>
      </c>
      <c r="B233" s="218" t="s">
        <v>646</v>
      </c>
      <c r="C233" s="218" t="s">
        <v>130</v>
      </c>
      <c r="D233" s="218" t="s">
        <v>120</v>
      </c>
      <c r="E233" s="218">
        <v>30000</v>
      </c>
      <c r="F233" s="219">
        <f t="shared" si="8"/>
        <v>50.319275804982617</v>
      </c>
      <c r="G233" s="218">
        <v>596.19299999999998</v>
      </c>
      <c r="H233" s="77" t="s">
        <v>162</v>
      </c>
      <c r="I233" s="77" t="s">
        <v>647</v>
      </c>
      <c r="J233" s="218" t="s">
        <v>100</v>
      </c>
      <c r="K233" s="218" t="s">
        <v>159</v>
      </c>
      <c r="L233" s="218" t="s">
        <v>160</v>
      </c>
    </row>
    <row r="234" spans="1:12">
      <c r="A234" s="217">
        <v>45699</v>
      </c>
      <c r="B234" s="218" t="s">
        <v>648</v>
      </c>
      <c r="C234" s="218" t="s">
        <v>130</v>
      </c>
      <c r="D234" s="218" t="s">
        <v>120</v>
      </c>
      <c r="E234" s="218">
        <v>30000</v>
      </c>
      <c r="F234" s="219">
        <f t="shared" si="8"/>
        <v>50.319275804982617</v>
      </c>
      <c r="G234" s="218">
        <v>596.19299999999998</v>
      </c>
      <c r="H234" s="77" t="s">
        <v>162</v>
      </c>
      <c r="I234" s="77" t="s">
        <v>649</v>
      </c>
      <c r="J234" s="218" t="s">
        <v>100</v>
      </c>
      <c r="K234" s="218" t="s">
        <v>159</v>
      </c>
      <c r="L234" s="218" t="s">
        <v>160</v>
      </c>
    </row>
    <row r="235" spans="1:12">
      <c r="A235" s="217">
        <v>45699</v>
      </c>
      <c r="B235" s="218" t="s">
        <v>650</v>
      </c>
      <c r="C235" s="218" t="s">
        <v>130</v>
      </c>
      <c r="D235" s="218" t="s">
        <v>123</v>
      </c>
      <c r="E235" s="218">
        <v>30000</v>
      </c>
      <c r="F235" s="219">
        <f t="shared" si="8"/>
        <v>50.319275804982617</v>
      </c>
      <c r="G235" s="218">
        <v>596.19299999999998</v>
      </c>
      <c r="H235" s="77" t="s">
        <v>162</v>
      </c>
      <c r="I235" s="77" t="s">
        <v>651</v>
      </c>
      <c r="J235" s="218" t="s">
        <v>100</v>
      </c>
      <c r="K235" s="218" t="s">
        <v>159</v>
      </c>
      <c r="L235" s="218" t="s">
        <v>160</v>
      </c>
    </row>
    <row r="236" spans="1:12">
      <c r="A236" s="217">
        <v>45699</v>
      </c>
      <c r="B236" s="218" t="s">
        <v>652</v>
      </c>
      <c r="C236" s="218" t="s">
        <v>272</v>
      </c>
      <c r="D236" s="218" t="s">
        <v>206</v>
      </c>
      <c r="E236" s="218">
        <v>35000</v>
      </c>
      <c r="F236" s="219">
        <f t="shared" si="8"/>
        <v>58.705821772479716</v>
      </c>
      <c r="G236" s="218">
        <v>596.19299999999998</v>
      </c>
      <c r="H236" s="77" t="s">
        <v>162</v>
      </c>
      <c r="I236" s="77" t="s">
        <v>653</v>
      </c>
      <c r="J236" s="218" t="s">
        <v>100</v>
      </c>
      <c r="K236" s="218" t="s">
        <v>159</v>
      </c>
      <c r="L236" s="218" t="s">
        <v>160</v>
      </c>
    </row>
    <row r="237" spans="1:12">
      <c r="A237" s="217">
        <v>45699</v>
      </c>
      <c r="B237" s="218" t="s">
        <v>654</v>
      </c>
      <c r="C237" s="218" t="s">
        <v>272</v>
      </c>
      <c r="D237" s="218" t="s">
        <v>206</v>
      </c>
      <c r="E237" s="218">
        <v>30000</v>
      </c>
      <c r="F237" s="219">
        <f t="shared" si="8"/>
        <v>50.319275804982617</v>
      </c>
      <c r="G237" s="218">
        <v>596.19299999999998</v>
      </c>
      <c r="H237" s="77" t="s">
        <v>162</v>
      </c>
      <c r="I237" s="77" t="s">
        <v>655</v>
      </c>
      <c r="J237" s="218" t="s">
        <v>100</v>
      </c>
      <c r="K237" s="218" t="s">
        <v>159</v>
      </c>
      <c r="L237" s="218" t="s">
        <v>160</v>
      </c>
    </row>
    <row r="238" spans="1:12">
      <c r="A238" s="217">
        <v>45699</v>
      </c>
      <c r="B238" s="218" t="s">
        <v>656</v>
      </c>
      <c r="C238" s="218" t="s">
        <v>272</v>
      </c>
      <c r="D238" s="218" t="s">
        <v>206</v>
      </c>
      <c r="E238" s="218">
        <v>30000</v>
      </c>
      <c r="F238" s="219">
        <f t="shared" si="8"/>
        <v>50.319275804982617</v>
      </c>
      <c r="G238" s="218">
        <v>596.19299999999998</v>
      </c>
      <c r="H238" s="77" t="s">
        <v>162</v>
      </c>
      <c r="I238" s="77" t="s">
        <v>657</v>
      </c>
      <c r="J238" s="218" t="s">
        <v>100</v>
      </c>
      <c r="K238" s="218" t="s">
        <v>159</v>
      </c>
      <c r="L238" s="218" t="s">
        <v>160</v>
      </c>
    </row>
    <row r="239" spans="1:12">
      <c r="A239" s="217">
        <v>45699</v>
      </c>
      <c r="B239" s="218" t="s">
        <v>658</v>
      </c>
      <c r="C239" s="218" t="s">
        <v>272</v>
      </c>
      <c r="D239" s="218" t="s">
        <v>206</v>
      </c>
      <c r="E239" s="218">
        <v>30000</v>
      </c>
      <c r="F239" s="219">
        <f t="shared" si="8"/>
        <v>50.319275804982617</v>
      </c>
      <c r="G239" s="218">
        <v>596.19299999999998</v>
      </c>
      <c r="H239" s="77" t="s">
        <v>162</v>
      </c>
      <c r="I239" s="77" t="s">
        <v>659</v>
      </c>
      <c r="J239" s="218" t="s">
        <v>100</v>
      </c>
      <c r="K239" s="218" t="s">
        <v>159</v>
      </c>
      <c r="L239" s="218" t="s">
        <v>160</v>
      </c>
    </row>
    <row r="240" spans="1:12">
      <c r="A240" s="217">
        <v>45699</v>
      </c>
      <c r="B240" s="218" t="s">
        <v>988</v>
      </c>
      <c r="C240" s="218" t="s">
        <v>469</v>
      </c>
      <c r="D240" s="218" t="s">
        <v>124</v>
      </c>
      <c r="E240" s="218">
        <v>45000</v>
      </c>
      <c r="F240" s="219">
        <f t="shared" si="8"/>
        <v>75.478913707473922</v>
      </c>
      <c r="G240" s="218">
        <v>596.19299999999998</v>
      </c>
      <c r="H240" s="77" t="s">
        <v>333</v>
      </c>
      <c r="I240" s="77" t="s">
        <v>867</v>
      </c>
      <c r="J240" s="218" t="s">
        <v>100</v>
      </c>
      <c r="K240" s="218" t="s">
        <v>159</v>
      </c>
      <c r="L240" s="218" t="s">
        <v>160</v>
      </c>
    </row>
    <row r="241" spans="1:12">
      <c r="A241" s="217">
        <v>45699</v>
      </c>
      <c r="B241" s="218" t="s">
        <v>985</v>
      </c>
      <c r="C241" s="218" t="s">
        <v>179</v>
      </c>
      <c r="D241" s="218" t="s">
        <v>124</v>
      </c>
      <c r="E241" s="218">
        <v>4000</v>
      </c>
      <c r="F241" s="219">
        <f t="shared" si="8"/>
        <v>6.7092367739976817</v>
      </c>
      <c r="G241" s="218">
        <v>596.19299999999998</v>
      </c>
      <c r="H241" s="77" t="s">
        <v>333</v>
      </c>
      <c r="I241" s="77" t="s">
        <v>868</v>
      </c>
      <c r="J241" s="218" t="s">
        <v>100</v>
      </c>
      <c r="K241" s="218" t="s">
        <v>159</v>
      </c>
      <c r="L241" s="218" t="s">
        <v>160</v>
      </c>
    </row>
    <row r="242" spans="1:12">
      <c r="A242" s="217">
        <v>45699</v>
      </c>
      <c r="B242" s="218" t="s">
        <v>985</v>
      </c>
      <c r="C242" s="218" t="s">
        <v>179</v>
      </c>
      <c r="D242" s="218" t="s">
        <v>124</v>
      </c>
      <c r="E242" s="269">
        <v>3000</v>
      </c>
      <c r="F242" s="219">
        <f t="shared" si="8"/>
        <v>4.8874119492008914</v>
      </c>
      <c r="G242" s="220">
        <v>613.82180000000005</v>
      </c>
      <c r="H242" s="77" t="s">
        <v>333</v>
      </c>
      <c r="I242" s="77" t="s">
        <v>869</v>
      </c>
      <c r="J242" s="218" t="s">
        <v>100</v>
      </c>
      <c r="K242" s="218" t="s">
        <v>451</v>
      </c>
      <c r="L242" s="218" t="s">
        <v>160</v>
      </c>
    </row>
    <row r="243" spans="1:12">
      <c r="A243" s="217">
        <v>45699</v>
      </c>
      <c r="B243" s="218" t="s">
        <v>557</v>
      </c>
      <c r="C243" s="218" t="s">
        <v>179</v>
      </c>
      <c r="D243" s="218" t="s">
        <v>120</v>
      </c>
      <c r="E243" s="269">
        <v>7000</v>
      </c>
      <c r="F243" s="219">
        <f t="shared" si="8"/>
        <v>11.403961214802081</v>
      </c>
      <c r="G243" s="220">
        <v>613.82180000000005</v>
      </c>
      <c r="H243" s="77" t="s">
        <v>196</v>
      </c>
      <c r="I243" s="77" t="s">
        <v>558</v>
      </c>
      <c r="J243" s="218" t="s">
        <v>100</v>
      </c>
      <c r="K243" s="218" t="s">
        <v>451</v>
      </c>
      <c r="L243" s="218" t="s">
        <v>160</v>
      </c>
    </row>
    <row r="244" spans="1:12">
      <c r="A244" s="217">
        <v>45699</v>
      </c>
      <c r="B244" s="218" t="s">
        <v>559</v>
      </c>
      <c r="C244" s="218" t="s">
        <v>263</v>
      </c>
      <c r="D244" s="218" t="s">
        <v>120</v>
      </c>
      <c r="E244" s="218">
        <v>70000</v>
      </c>
      <c r="F244" s="219">
        <f t="shared" si="8"/>
        <v>117.41164354495943</v>
      </c>
      <c r="G244" s="218">
        <v>596.19299999999998</v>
      </c>
      <c r="H244" s="77" t="s">
        <v>196</v>
      </c>
      <c r="I244" s="77" t="s">
        <v>560</v>
      </c>
      <c r="J244" s="218" t="s">
        <v>100</v>
      </c>
      <c r="K244" s="218" t="s">
        <v>159</v>
      </c>
      <c r="L244" s="218" t="s">
        <v>160</v>
      </c>
    </row>
    <row r="245" spans="1:12">
      <c r="A245" s="217">
        <v>45699</v>
      </c>
      <c r="B245" s="218" t="s">
        <v>515</v>
      </c>
      <c r="C245" s="218" t="s">
        <v>263</v>
      </c>
      <c r="D245" s="218" t="s">
        <v>120</v>
      </c>
      <c r="E245" s="218">
        <v>200000</v>
      </c>
      <c r="F245" s="219">
        <f t="shared" si="8"/>
        <v>335.46183869988408</v>
      </c>
      <c r="G245" s="218">
        <v>596.19299999999998</v>
      </c>
      <c r="H245" s="77" t="s">
        <v>152</v>
      </c>
      <c r="I245" s="77" t="s">
        <v>516</v>
      </c>
      <c r="J245" s="218" t="s">
        <v>100</v>
      </c>
      <c r="K245" s="218" t="s">
        <v>159</v>
      </c>
      <c r="L245" s="218" t="s">
        <v>160</v>
      </c>
    </row>
    <row r="246" spans="1:12">
      <c r="A246" s="217">
        <v>45699</v>
      </c>
      <c r="B246" s="218" t="s">
        <v>638</v>
      </c>
      <c r="C246" s="218" t="s">
        <v>188</v>
      </c>
      <c r="D246" s="218" t="s">
        <v>121</v>
      </c>
      <c r="E246" s="218">
        <v>6720</v>
      </c>
      <c r="F246" s="219">
        <f t="shared" ref="F246:F277" si="9">E246/G246</f>
        <v>11.271517780316106</v>
      </c>
      <c r="G246" s="218">
        <v>596.19299999999998</v>
      </c>
      <c r="H246" s="77" t="s">
        <v>199</v>
      </c>
      <c r="I246" s="77" t="s">
        <v>639</v>
      </c>
      <c r="J246" s="218" t="s">
        <v>100</v>
      </c>
      <c r="K246" s="218" t="s">
        <v>159</v>
      </c>
      <c r="L246" s="218" t="s">
        <v>160</v>
      </c>
    </row>
    <row r="247" spans="1:12">
      <c r="A247" s="217">
        <v>45700</v>
      </c>
      <c r="B247" s="218" t="s">
        <v>996</v>
      </c>
      <c r="C247" s="218" t="s">
        <v>183</v>
      </c>
      <c r="D247" s="218" t="s">
        <v>124</v>
      </c>
      <c r="E247" s="218">
        <v>45000</v>
      </c>
      <c r="F247" s="219">
        <f t="shared" si="9"/>
        <v>75.478913707473922</v>
      </c>
      <c r="G247" s="218">
        <v>596.19299999999998</v>
      </c>
      <c r="H247" s="77" t="s">
        <v>327</v>
      </c>
      <c r="I247" s="77" t="s">
        <v>945</v>
      </c>
      <c r="J247" s="218" t="s">
        <v>100</v>
      </c>
      <c r="K247" s="218" t="s">
        <v>159</v>
      </c>
      <c r="L247" s="218" t="s">
        <v>160</v>
      </c>
    </row>
    <row r="248" spans="1:12">
      <c r="A248" s="217">
        <v>45700</v>
      </c>
      <c r="B248" s="218" t="s">
        <v>989</v>
      </c>
      <c r="C248" s="218" t="s">
        <v>179</v>
      </c>
      <c r="D248" s="218" t="s">
        <v>124</v>
      </c>
      <c r="E248" s="218">
        <v>7000</v>
      </c>
      <c r="F248" s="219">
        <f t="shared" si="9"/>
        <v>11.741164354495943</v>
      </c>
      <c r="G248" s="218">
        <v>596.19299999999998</v>
      </c>
      <c r="H248" s="77" t="s">
        <v>327</v>
      </c>
      <c r="I248" s="77" t="s">
        <v>945</v>
      </c>
      <c r="J248" s="218" t="s">
        <v>100</v>
      </c>
      <c r="K248" s="218" t="s">
        <v>159</v>
      </c>
      <c r="L248" s="218" t="s">
        <v>160</v>
      </c>
    </row>
    <row r="249" spans="1:12">
      <c r="A249" s="217">
        <v>45700</v>
      </c>
      <c r="B249" s="218" t="s">
        <v>561</v>
      </c>
      <c r="C249" s="218" t="s">
        <v>469</v>
      </c>
      <c r="D249" s="218" t="s">
        <v>120</v>
      </c>
      <c r="E249" s="218">
        <v>170000</v>
      </c>
      <c r="F249" s="219">
        <f t="shared" si="9"/>
        <v>285.14256289490152</v>
      </c>
      <c r="G249" s="218">
        <v>596.19299999999998</v>
      </c>
      <c r="H249" s="77" t="s">
        <v>196</v>
      </c>
      <c r="I249" s="77" t="s">
        <v>562</v>
      </c>
      <c r="J249" s="218" t="s">
        <v>100</v>
      </c>
      <c r="K249" s="218" t="s">
        <v>159</v>
      </c>
      <c r="L249" s="218" t="s">
        <v>160</v>
      </c>
    </row>
    <row r="250" spans="1:12">
      <c r="A250" s="217">
        <v>45700</v>
      </c>
      <c r="B250" s="218" t="s">
        <v>909</v>
      </c>
      <c r="C250" s="218" t="s">
        <v>179</v>
      </c>
      <c r="D250" s="218" t="s">
        <v>120</v>
      </c>
      <c r="E250" s="218">
        <v>8000</v>
      </c>
      <c r="F250" s="219">
        <f t="shared" si="9"/>
        <v>13.418473547995363</v>
      </c>
      <c r="G250" s="218">
        <v>596.19299999999998</v>
      </c>
      <c r="H250" s="77" t="s">
        <v>199</v>
      </c>
      <c r="I250" s="77" t="s">
        <v>910</v>
      </c>
      <c r="J250" s="218" t="s">
        <v>100</v>
      </c>
      <c r="K250" s="218" t="s">
        <v>159</v>
      </c>
      <c r="L250" s="218" t="s">
        <v>160</v>
      </c>
    </row>
    <row r="251" spans="1:12">
      <c r="A251" s="217">
        <v>45700</v>
      </c>
      <c r="B251" s="218" t="s">
        <v>198</v>
      </c>
      <c r="C251" s="218" t="s">
        <v>188</v>
      </c>
      <c r="D251" s="218" t="s">
        <v>121</v>
      </c>
      <c r="E251" s="218">
        <v>1980</v>
      </c>
      <c r="F251" s="219">
        <f t="shared" si="9"/>
        <v>3.3210722031288529</v>
      </c>
      <c r="G251" s="218">
        <v>596.19299999999998</v>
      </c>
      <c r="H251" s="77" t="s">
        <v>199</v>
      </c>
      <c r="I251" s="77" t="s">
        <v>663</v>
      </c>
      <c r="J251" s="218" t="s">
        <v>100</v>
      </c>
      <c r="K251" s="218" t="s">
        <v>159</v>
      </c>
      <c r="L251" s="218" t="s">
        <v>160</v>
      </c>
    </row>
    <row r="252" spans="1:12">
      <c r="A252" s="217">
        <v>45700</v>
      </c>
      <c r="B252" s="218" t="s">
        <v>665</v>
      </c>
      <c r="C252" s="218" t="s">
        <v>263</v>
      </c>
      <c r="D252" s="218" t="s">
        <v>120</v>
      </c>
      <c r="E252" s="218">
        <v>80000</v>
      </c>
      <c r="F252" s="219">
        <f t="shared" si="9"/>
        <v>134.18473547995364</v>
      </c>
      <c r="G252" s="218">
        <v>596.19299999999998</v>
      </c>
      <c r="H252" s="77" t="s">
        <v>199</v>
      </c>
      <c r="I252" s="77" t="s">
        <v>666</v>
      </c>
      <c r="J252" s="218" t="s">
        <v>100</v>
      </c>
      <c r="K252" s="218" t="s">
        <v>159</v>
      </c>
      <c r="L252" s="218" t="s">
        <v>160</v>
      </c>
    </row>
    <row r="253" spans="1:12">
      <c r="A253" s="217">
        <v>45701</v>
      </c>
      <c r="B253" s="218" t="s">
        <v>972</v>
      </c>
      <c r="C253" s="218" t="s">
        <v>130</v>
      </c>
      <c r="D253" s="218" t="s">
        <v>122</v>
      </c>
      <c r="E253" s="218">
        <v>129464</v>
      </c>
      <c r="F253" s="219">
        <f t="shared" si="9"/>
        <v>217.15115742720897</v>
      </c>
      <c r="G253" s="218">
        <v>596.19299999999998</v>
      </c>
      <c r="H253" s="77" t="s">
        <v>162</v>
      </c>
      <c r="I253" s="77" t="s">
        <v>668</v>
      </c>
      <c r="J253" s="218" t="s">
        <v>100</v>
      </c>
      <c r="K253" s="218" t="s">
        <v>159</v>
      </c>
      <c r="L253" s="218" t="s">
        <v>160</v>
      </c>
    </row>
    <row r="254" spans="1:12">
      <c r="A254" s="217">
        <v>45701</v>
      </c>
      <c r="B254" s="218" t="s">
        <v>977</v>
      </c>
      <c r="C254" s="218" t="s">
        <v>130</v>
      </c>
      <c r="D254" s="218" t="s">
        <v>122</v>
      </c>
      <c r="E254" s="218">
        <v>80500</v>
      </c>
      <c r="F254" s="219">
        <f t="shared" si="9"/>
        <v>135.02339007670335</v>
      </c>
      <c r="G254" s="218">
        <v>596.19299999999998</v>
      </c>
      <c r="H254" s="77" t="s">
        <v>162</v>
      </c>
      <c r="I254" s="77" t="s">
        <v>669</v>
      </c>
      <c r="J254" s="218" t="s">
        <v>100</v>
      </c>
      <c r="K254" s="218" t="s">
        <v>159</v>
      </c>
      <c r="L254" s="218" t="s">
        <v>160</v>
      </c>
    </row>
    <row r="255" spans="1:12">
      <c r="A255" s="217">
        <v>45701</v>
      </c>
      <c r="B255" s="218" t="s">
        <v>986</v>
      </c>
      <c r="C255" s="218" t="s">
        <v>469</v>
      </c>
      <c r="D255" s="218" t="s">
        <v>124</v>
      </c>
      <c r="E255" s="218">
        <v>30000</v>
      </c>
      <c r="F255" s="219">
        <f t="shared" si="9"/>
        <v>50.319275804982617</v>
      </c>
      <c r="G255" s="218">
        <v>596.19299999999998</v>
      </c>
      <c r="H255" s="77" t="s">
        <v>333</v>
      </c>
      <c r="I255" s="77" t="s">
        <v>870</v>
      </c>
      <c r="J255" s="218" t="s">
        <v>100</v>
      </c>
      <c r="K255" s="218" t="s">
        <v>159</v>
      </c>
      <c r="L255" s="218" t="s">
        <v>160</v>
      </c>
    </row>
    <row r="256" spans="1:12">
      <c r="A256" s="217">
        <v>45701</v>
      </c>
      <c r="B256" s="218" t="s">
        <v>985</v>
      </c>
      <c r="C256" s="218" t="s">
        <v>179</v>
      </c>
      <c r="D256" s="218" t="s">
        <v>124</v>
      </c>
      <c r="E256" s="218">
        <v>3000</v>
      </c>
      <c r="F256" s="219">
        <f t="shared" si="9"/>
        <v>5.0319275804982615</v>
      </c>
      <c r="G256" s="218">
        <v>596.19299999999998</v>
      </c>
      <c r="H256" s="77" t="s">
        <v>333</v>
      </c>
      <c r="I256" s="77" t="s">
        <v>871</v>
      </c>
      <c r="J256" s="218" t="s">
        <v>100</v>
      </c>
      <c r="K256" s="218" t="s">
        <v>159</v>
      </c>
      <c r="L256" s="218" t="s">
        <v>160</v>
      </c>
    </row>
    <row r="257" spans="1:12">
      <c r="A257" s="217">
        <v>45701</v>
      </c>
      <c r="B257" s="218" t="s">
        <v>911</v>
      </c>
      <c r="C257" s="218" t="s">
        <v>183</v>
      </c>
      <c r="D257" s="218" t="s">
        <v>120</v>
      </c>
      <c r="E257" s="269">
        <v>20000</v>
      </c>
      <c r="F257" s="219">
        <f t="shared" si="9"/>
        <v>32.582746328005946</v>
      </c>
      <c r="G257" s="220">
        <v>613.82180000000005</v>
      </c>
      <c r="H257" s="77" t="s">
        <v>199</v>
      </c>
      <c r="I257" s="77" t="s">
        <v>912</v>
      </c>
      <c r="J257" s="218" t="s">
        <v>100</v>
      </c>
      <c r="K257" s="218" t="s">
        <v>451</v>
      </c>
      <c r="L257" s="218" t="s">
        <v>160</v>
      </c>
    </row>
    <row r="258" spans="1:12">
      <c r="A258" s="217">
        <v>45701</v>
      </c>
      <c r="B258" s="218" t="s">
        <v>551</v>
      </c>
      <c r="C258" s="218" t="s">
        <v>325</v>
      </c>
      <c r="D258" s="218" t="s">
        <v>123</v>
      </c>
      <c r="E258" s="269">
        <v>154000</v>
      </c>
      <c r="F258" s="219">
        <f t="shared" si="9"/>
        <v>250.88714672564575</v>
      </c>
      <c r="G258" s="220">
        <v>613.82180000000005</v>
      </c>
      <c r="H258" s="77" t="s">
        <v>220</v>
      </c>
      <c r="I258" s="77" t="s">
        <v>552</v>
      </c>
      <c r="J258" s="218" t="s">
        <v>100</v>
      </c>
      <c r="K258" s="218" t="s">
        <v>451</v>
      </c>
      <c r="L258" s="218" t="s">
        <v>160</v>
      </c>
    </row>
    <row r="259" spans="1:12">
      <c r="A259" s="217">
        <v>45701</v>
      </c>
      <c r="B259" s="218" t="s">
        <v>519</v>
      </c>
      <c r="C259" s="218" t="s">
        <v>312</v>
      </c>
      <c r="D259" s="218" t="s">
        <v>121</v>
      </c>
      <c r="E259" s="218">
        <v>227686</v>
      </c>
      <c r="F259" s="219">
        <f t="shared" si="9"/>
        <v>381.89982103110907</v>
      </c>
      <c r="G259" s="218">
        <v>596.19299999999998</v>
      </c>
      <c r="H259" s="77" t="s">
        <v>152</v>
      </c>
      <c r="I259" s="77" t="s">
        <v>520</v>
      </c>
      <c r="J259" s="218" t="s">
        <v>100</v>
      </c>
      <c r="K259" s="218" t="s">
        <v>159</v>
      </c>
      <c r="L259" s="218" t="s">
        <v>160</v>
      </c>
    </row>
    <row r="260" spans="1:12">
      <c r="A260" s="217">
        <v>45701</v>
      </c>
      <c r="B260" s="218" t="s">
        <v>913</v>
      </c>
      <c r="C260" s="218" t="s">
        <v>179</v>
      </c>
      <c r="D260" s="218" t="s">
        <v>120</v>
      </c>
      <c r="E260" s="218">
        <v>4000</v>
      </c>
      <c r="F260" s="219">
        <f t="shared" si="9"/>
        <v>6.7092367739976817</v>
      </c>
      <c r="G260" s="218">
        <v>596.19299999999998</v>
      </c>
      <c r="H260" s="77" t="s">
        <v>199</v>
      </c>
      <c r="I260" s="77" t="s">
        <v>914</v>
      </c>
      <c r="J260" s="218" t="s">
        <v>100</v>
      </c>
      <c r="K260" s="218" t="s">
        <v>159</v>
      </c>
      <c r="L260" s="218" t="s">
        <v>160</v>
      </c>
    </row>
    <row r="261" spans="1:12">
      <c r="A261" s="217">
        <v>45702</v>
      </c>
      <c r="B261" s="218" t="s">
        <v>975</v>
      </c>
      <c r="C261" s="218" t="s">
        <v>379</v>
      </c>
      <c r="D261" s="218" t="s">
        <v>124</v>
      </c>
      <c r="E261" s="218">
        <v>30000</v>
      </c>
      <c r="F261" s="219">
        <f t="shared" si="9"/>
        <v>50.319275804982617</v>
      </c>
      <c r="G261" s="218">
        <v>596.19299999999998</v>
      </c>
      <c r="H261" s="77" t="s">
        <v>157</v>
      </c>
      <c r="I261" s="77" t="s">
        <v>779</v>
      </c>
      <c r="J261" s="218" t="s">
        <v>100</v>
      </c>
      <c r="K261" s="218" t="s">
        <v>159</v>
      </c>
      <c r="L261" s="218" t="s">
        <v>160</v>
      </c>
    </row>
    <row r="262" spans="1:12">
      <c r="A262" s="217">
        <v>45702</v>
      </c>
      <c r="B262" s="218" t="s">
        <v>780</v>
      </c>
      <c r="C262" s="218" t="s">
        <v>188</v>
      </c>
      <c r="D262" s="218" t="s">
        <v>121</v>
      </c>
      <c r="E262" s="218">
        <v>1952</v>
      </c>
      <c r="F262" s="219">
        <f t="shared" si="9"/>
        <v>3.2741075457108688</v>
      </c>
      <c r="G262" s="218">
        <v>596.19299999999998</v>
      </c>
      <c r="H262" s="77" t="s">
        <v>157</v>
      </c>
      <c r="I262" s="77" t="s">
        <v>781</v>
      </c>
      <c r="J262" s="218" t="s">
        <v>100</v>
      </c>
      <c r="K262" s="218" t="s">
        <v>159</v>
      </c>
      <c r="L262" s="218" t="s">
        <v>160</v>
      </c>
    </row>
    <row r="263" spans="1:12">
      <c r="A263" s="217">
        <v>45702</v>
      </c>
      <c r="B263" s="218" t="s">
        <v>970</v>
      </c>
      <c r="C263" s="218" t="s">
        <v>179</v>
      </c>
      <c r="D263" s="218" t="s">
        <v>122</v>
      </c>
      <c r="E263" s="269">
        <v>7000</v>
      </c>
      <c r="F263" s="219">
        <f t="shared" si="9"/>
        <v>11.403961214802081</v>
      </c>
      <c r="G263" s="220">
        <v>613.82180000000005</v>
      </c>
      <c r="H263" s="77" t="s">
        <v>157</v>
      </c>
      <c r="I263" s="77" t="s">
        <v>785</v>
      </c>
      <c r="J263" s="218" t="s">
        <v>100</v>
      </c>
      <c r="K263" s="218" t="s">
        <v>451</v>
      </c>
      <c r="L263" s="218" t="s">
        <v>160</v>
      </c>
    </row>
    <row r="264" spans="1:12">
      <c r="A264" s="217">
        <v>45702</v>
      </c>
      <c r="B264" s="218" t="s">
        <v>205</v>
      </c>
      <c r="C264" s="218" t="s">
        <v>179</v>
      </c>
      <c r="D264" s="218" t="s">
        <v>120</v>
      </c>
      <c r="E264" s="269">
        <v>7000</v>
      </c>
      <c r="F264" s="219">
        <f t="shared" si="9"/>
        <v>11.403961214802081</v>
      </c>
      <c r="G264" s="220">
        <v>613.82180000000005</v>
      </c>
      <c r="H264" s="77" t="s">
        <v>207</v>
      </c>
      <c r="I264" s="77" t="s">
        <v>599</v>
      </c>
      <c r="J264" s="218" t="s">
        <v>100</v>
      </c>
      <c r="K264" s="218" t="s">
        <v>451</v>
      </c>
      <c r="L264" s="218" t="s">
        <v>160</v>
      </c>
    </row>
    <row r="265" spans="1:12">
      <c r="A265" s="217">
        <v>45702</v>
      </c>
      <c r="B265" s="218" t="s">
        <v>683</v>
      </c>
      <c r="C265" s="218" t="s">
        <v>156</v>
      </c>
      <c r="D265" s="218" t="s">
        <v>122</v>
      </c>
      <c r="E265" s="269">
        <v>30000</v>
      </c>
      <c r="F265" s="219">
        <f t="shared" si="9"/>
        <v>48.874119492008916</v>
      </c>
      <c r="G265" s="220">
        <v>613.82180000000005</v>
      </c>
      <c r="H265" s="77" t="s">
        <v>162</v>
      </c>
      <c r="I265" s="77" t="s">
        <v>684</v>
      </c>
      <c r="J265" s="218" t="s">
        <v>100</v>
      </c>
      <c r="K265" s="218" t="s">
        <v>451</v>
      </c>
      <c r="L265" s="218" t="s">
        <v>160</v>
      </c>
    </row>
    <row r="266" spans="1:12">
      <c r="A266" s="217">
        <v>45702</v>
      </c>
      <c r="B266" s="218" t="s">
        <v>685</v>
      </c>
      <c r="C266" s="218" t="s">
        <v>156</v>
      </c>
      <c r="D266" s="218" t="s">
        <v>120</v>
      </c>
      <c r="E266" s="269">
        <v>30000</v>
      </c>
      <c r="F266" s="219">
        <f t="shared" si="9"/>
        <v>48.874119492008916</v>
      </c>
      <c r="G266" s="220">
        <v>613.82180000000005</v>
      </c>
      <c r="H266" s="77" t="s">
        <v>162</v>
      </c>
      <c r="I266" s="77" t="s">
        <v>686</v>
      </c>
      <c r="J266" s="218" t="s">
        <v>100</v>
      </c>
      <c r="K266" s="218" t="s">
        <v>451</v>
      </c>
      <c r="L266" s="218" t="s">
        <v>160</v>
      </c>
    </row>
    <row r="267" spans="1:12">
      <c r="A267" s="217">
        <v>45702</v>
      </c>
      <c r="B267" s="218" t="s">
        <v>687</v>
      </c>
      <c r="C267" s="218" t="s">
        <v>156</v>
      </c>
      <c r="D267" s="218" t="s">
        <v>124</v>
      </c>
      <c r="E267" s="269">
        <v>55000</v>
      </c>
      <c r="F267" s="219">
        <f t="shared" si="9"/>
        <v>94.950186542589222</v>
      </c>
      <c r="G267" s="220">
        <v>579.25109999999995</v>
      </c>
      <c r="H267" s="77" t="s">
        <v>162</v>
      </c>
      <c r="I267" s="77" t="s">
        <v>688</v>
      </c>
      <c r="J267" s="218" t="s">
        <v>100</v>
      </c>
      <c r="K267" s="218" t="s">
        <v>209</v>
      </c>
      <c r="L267" s="218" t="s">
        <v>160</v>
      </c>
    </row>
    <row r="268" spans="1:12">
      <c r="A268" s="217">
        <v>45702</v>
      </c>
      <c r="B268" s="218" t="s">
        <v>689</v>
      </c>
      <c r="C268" s="218" t="s">
        <v>156</v>
      </c>
      <c r="D268" s="218" t="s">
        <v>123</v>
      </c>
      <c r="E268" s="269">
        <v>10000</v>
      </c>
      <c r="F268" s="219">
        <f t="shared" si="9"/>
        <v>16.291373164002973</v>
      </c>
      <c r="G268" s="220">
        <v>613.82180000000005</v>
      </c>
      <c r="H268" s="77" t="s">
        <v>162</v>
      </c>
      <c r="I268" s="77" t="s">
        <v>690</v>
      </c>
      <c r="J268" s="218" t="s">
        <v>100</v>
      </c>
      <c r="K268" s="218" t="s">
        <v>451</v>
      </c>
      <c r="L268" s="218" t="s">
        <v>160</v>
      </c>
    </row>
    <row r="269" spans="1:12">
      <c r="A269" s="217">
        <v>45702</v>
      </c>
      <c r="B269" s="218" t="s">
        <v>692</v>
      </c>
      <c r="C269" s="218" t="s">
        <v>156</v>
      </c>
      <c r="D269" s="218" t="s">
        <v>120</v>
      </c>
      <c r="E269" s="269">
        <v>10000</v>
      </c>
      <c r="F269" s="219">
        <f t="shared" si="9"/>
        <v>16.291373164002973</v>
      </c>
      <c r="G269" s="220">
        <v>613.82180000000005</v>
      </c>
      <c r="H269" s="77" t="s">
        <v>162</v>
      </c>
      <c r="I269" s="77" t="s">
        <v>691</v>
      </c>
      <c r="J269" s="218" t="s">
        <v>100</v>
      </c>
      <c r="K269" s="218" t="s">
        <v>451</v>
      </c>
      <c r="L269" s="218" t="s">
        <v>160</v>
      </c>
    </row>
    <row r="270" spans="1:12">
      <c r="A270" s="217">
        <v>45702</v>
      </c>
      <c r="B270" s="218" t="s">
        <v>973</v>
      </c>
      <c r="C270" s="218" t="s">
        <v>156</v>
      </c>
      <c r="D270" s="218" t="s">
        <v>124</v>
      </c>
      <c r="E270" s="269">
        <v>5000</v>
      </c>
      <c r="F270" s="219">
        <f t="shared" si="9"/>
        <v>8.1456865820014865</v>
      </c>
      <c r="G270" s="220">
        <v>613.82180000000005</v>
      </c>
      <c r="H270" s="77" t="s">
        <v>162</v>
      </c>
      <c r="I270" s="77" t="s">
        <v>693</v>
      </c>
      <c r="J270" s="218" t="s">
        <v>100</v>
      </c>
      <c r="K270" s="218" t="s">
        <v>451</v>
      </c>
      <c r="L270" s="218" t="s">
        <v>160</v>
      </c>
    </row>
    <row r="271" spans="1:12">
      <c r="A271" s="217">
        <v>45702</v>
      </c>
      <c r="B271" s="218" t="s">
        <v>681</v>
      </c>
      <c r="C271" s="218" t="s">
        <v>188</v>
      </c>
      <c r="D271" s="218" t="s">
        <v>121</v>
      </c>
      <c r="E271" s="269">
        <v>11310</v>
      </c>
      <c r="F271" s="219">
        <f t="shared" si="9"/>
        <v>18.425543048487359</v>
      </c>
      <c r="G271" s="220">
        <v>613.82180000000005</v>
      </c>
      <c r="H271" s="77" t="s">
        <v>671</v>
      </c>
      <c r="I271" s="77" t="s">
        <v>682</v>
      </c>
      <c r="J271" s="218" t="s">
        <v>100</v>
      </c>
      <c r="K271" s="218" t="s">
        <v>451</v>
      </c>
      <c r="L271" s="218" t="s">
        <v>160</v>
      </c>
    </row>
    <row r="272" spans="1:12">
      <c r="A272" s="217">
        <v>45702</v>
      </c>
      <c r="B272" s="218" t="s">
        <v>872</v>
      </c>
      <c r="C272" s="218" t="s">
        <v>379</v>
      </c>
      <c r="D272" s="218" t="s">
        <v>124</v>
      </c>
      <c r="E272" s="269">
        <v>4000</v>
      </c>
      <c r="F272" s="219">
        <f t="shared" si="9"/>
        <v>6.5165492656011885</v>
      </c>
      <c r="G272" s="220">
        <v>613.82180000000005</v>
      </c>
      <c r="H272" s="77" t="s">
        <v>333</v>
      </c>
      <c r="I272" s="77" t="s">
        <v>873</v>
      </c>
      <c r="J272" s="218" t="s">
        <v>100</v>
      </c>
      <c r="K272" s="218" t="s">
        <v>451</v>
      </c>
      <c r="L272" s="218" t="s">
        <v>160</v>
      </c>
    </row>
    <row r="273" spans="1:12">
      <c r="A273" s="217">
        <v>45702</v>
      </c>
      <c r="B273" s="218" t="s">
        <v>985</v>
      </c>
      <c r="C273" s="218" t="s">
        <v>179</v>
      </c>
      <c r="D273" s="218" t="s">
        <v>124</v>
      </c>
      <c r="E273" s="269">
        <v>7000</v>
      </c>
      <c r="F273" s="219">
        <f t="shared" si="9"/>
        <v>11.403961214802081</v>
      </c>
      <c r="G273" s="220">
        <v>613.82180000000005</v>
      </c>
      <c r="H273" s="77" t="s">
        <v>333</v>
      </c>
      <c r="I273" s="77" t="s">
        <v>874</v>
      </c>
      <c r="J273" s="218" t="s">
        <v>100</v>
      </c>
      <c r="K273" s="218" t="s">
        <v>451</v>
      </c>
      <c r="L273" s="218" t="s">
        <v>160</v>
      </c>
    </row>
    <row r="274" spans="1:12">
      <c r="A274" s="217">
        <v>45702</v>
      </c>
      <c r="B274" s="218" t="s">
        <v>887</v>
      </c>
      <c r="C274" s="218" t="s">
        <v>179</v>
      </c>
      <c r="D274" s="218" t="s">
        <v>120</v>
      </c>
      <c r="E274" s="269">
        <v>7000</v>
      </c>
      <c r="F274" s="219">
        <f t="shared" si="9"/>
        <v>11.403961214802081</v>
      </c>
      <c r="G274" s="220">
        <v>613.82180000000005</v>
      </c>
      <c r="H274" s="77" t="s">
        <v>193</v>
      </c>
      <c r="I274" s="77" t="s">
        <v>888</v>
      </c>
      <c r="J274" s="218" t="s">
        <v>100</v>
      </c>
      <c r="K274" s="218" t="s">
        <v>451</v>
      </c>
      <c r="L274" s="218" t="s">
        <v>160</v>
      </c>
    </row>
    <row r="275" spans="1:12">
      <c r="A275" s="217">
        <v>45702</v>
      </c>
      <c r="B275" s="218" t="s">
        <v>534</v>
      </c>
      <c r="C275" s="218" t="s">
        <v>179</v>
      </c>
      <c r="D275" s="218" t="s">
        <v>123</v>
      </c>
      <c r="E275" s="269">
        <v>7000</v>
      </c>
      <c r="F275" s="219">
        <f t="shared" si="9"/>
        <v>11.403961214802081</v>
      </c>
      <c r="G275" s="220">
        <v>613.82180000000005</v>
      </c>
      <c r="H275" s="77" t="s">
        <v>220</v>
      </c>
      <c r="I275" s="77" t="s">
        <v>535</v>
      </c>
      <c r="J275" s="218" t="s">
        <v>100</v>
      </c>
      <c r="K275" s="218" t="s">
        <v>451</v>
      </c>
      <c r="L275" s="218" t="s">
        <v>160</v>
      </c>
    </row>
    <row r="276" spans="1:12">
      <c r="A276" s="217">
        <v>45702</v>
      </c>
      <c r="B276" s="218" t="s">
        <v>915</v>
      </c>
      <c r="C276" s="218" t="s">
        <v>297</v>
      </c>
      <c r="D276" s="218" t="s">
        <v>120</v>
      </c>
      <c r="E276" s="269">
        <v>20000</v>
      </c>
      <c r="F276" s="219">
        <f t="shared" si="9"/>
        <v>32.582746328005946</v>
      </c>
      <c r="G276" s="220">
        <v>613.82180000000005</v>
      </c>
      <c r="H276" s="77" t="s">
        <v>199</v>
      </c>
      <c r="I276" s="77" t="s">
        <v>916</v>
      </c>
      <c r="J276" s="218" t="s">
        <v>100</v>
      </c>
      <c r="K276" s="218" t="s">
        <v>451</v>
      </c>
      <c r="L276" s="218" t="s">
        <v>160</v>
      </c>
    </row>
    <row r="277" spans="1:12">
      <c r="A277" s="217">
        <v>45702</v>
      </c>
      <c r="B277" s="218" t="s">
        <v>989</v>
      </c>
      <c r="C277" s="218" t="s">
        <v>179</v>
      </c>
      <c r="D277" s="218" t="s">
        <v>124</v>
      </c>
      <c r="E277" s="269">
        <v>7000</v>
      </c>
      <c r="F277" s="219">
        <f t="shared" si="9"/>
        <v>11.403961214802081</v>
      </c>
      <c r="G277" s="220">
        <v>613.82180000000005</v>
      </c>
      <c r="H277" s="77" t="s">
        <v>327</v>
      </c>
      <c r="I277" s="77" t="s">
        <v>948</v>
      </c>
      <c r="J277" s="218" t="s">
        <v>100</v>
      </c>
      <c r="K277" s="218" t="s">
        <v>451</v>
      </c>
      <c r="L277" s="218" t="s">
        <v>160</v>
      </c>
    </row>
    <row r="278" spans="1:12">
      <c r="A278" s="217">
        <v>45703</v>
      </c>
      <c r="B278" s="218" t="s">
        <v>786</v>
      </c>
      <c r="C278" s="218" t="s">
        <v>469</v>
      </c>
      <c r="D278" s="218" t="s">
        <v>122</v>
      </c>
      <c r="E278" s="269">
        <v>100000</v>
      </c>
      <c r="F278" s="219">
        <f t="shared" ref="F278:F309" si="10">E278/G278</f>
        <v>162.91373164002971</v>
      </c>
      <c r="G278" s="220">
        <v>613.82180000000005</v>
      </c>
      <c r="H278" s="77" t="s">
        <v>157</v>
      </c>
      <c r="I278" s="77" t="s">
        <v>787</v>
      </c>
      <c r="J278" s="218" t="s">
        <v>100</v>
      </c>
      <c r="K278" s="218" t="s">
        <v>451</v>
      </c>
      <c r="L278" s="218" t="s">
        <v>160</v>
      </c>
    </row>
    <row r="279" spans="1:12">
      <c r="A279" s="217">
        <v>45703</v>
      </c>
      <c r="B279" s="218" t="s">
        <v>577</v>
      </c>
      <c r="C279" s="218" t="s">
        <v>469</v>
      </c>
      <c r="D279" s="218" t="s">
        <v>120</v>
      </c>
      <c r="E279" s="269">
        <v>180000</v>
      </c>
      <c r="F279" s="219">
        <f t="shared" si="10"/>
        <v>293.24471695205347</v>
      </c>
      <c r="G279" s="220">
        <v>613.82180000000005</v>
      </c>
      <c r="H279" s="77" t="s">
        <v>207</v>
      </c>
      <c r="I279" s="77" t="s">
        <v>578</v>
      </c>
      <c r="J279" s="218" t="s">
        <v>100</v>
      </c>
      <c r="K279" s="218" t="s">
        <v>451</v>
      </c>
      <c r="L279" s="218" t="s">
        <v>160</v>
      </c>
    </row>
    <row r="280" spans="1:12">
      <c r="A280" s="217">
        <v>45703</v>
      </c>
      <c r="B280" s="218" t="s">
        <v>999</v>
      </c>
      <c r="C280" s="218" t="s">
        <v>183</v>
      </c>
      <c r="D280" s="218" t="s">
        <v>124</v>
      </c>
      <c r="E280" s="269">
        <v>70000</v>
      </c>
      <c r="F280" s="219">
        <f t="shared" si="10"/>
        <v>114.03961214802079</v>
      </c>
      <c r="G280" s="220">
        <v>613.82180000000005</v>
      </c>
      <c r="H280" s="77" t="s">
        <v>327</v>
      </c>
      <c r="I280" s="77" t="s">
        <v>947</v>
      </c>
      <c r="J280" s="218" t="s">
        <v>100</v>
      </c>
      <c r="K280" s="218" t="s">
        <v>451</v>
      </c>
      <c r="L280" s="218" t="s">
        <v>160</v>
      </c>
    </row>
    <row r="281" spans="1:12">
      <c r="A281" s="217">
        <v>45703</v>
      </c>
      <c r="B281" s="218" t="s">
        <v>987</v>
      </c>
      <c r="C281" s="218" t="s">
        <v>469</v>
      </c>
      <c r="D281" s="218" t="s">
        <v>124</v>
      </c>
      <c r="E281" s="269">
        <v>30000</v>
      </c>
      <c r="F281" s="219">
        <f t="shared" si="10"/>
        <v>48.874119492008916</v>
      </c>
      <c r="G281" s="220">
        <v>613.82180000000005</v>
      </c>
      <c r="H281" s="77" t="s">
        <v>333</v>
      </c>
      <c r="I281" s="77" t="s">
        <v>876</v>
      </c>
      <c r="J281" s="218" t="s">
        <v>100</v>
      </c>
      <c r="K281" s="218" t="s">
        <v>451</v>
      </c>
      <c r="L281" s="218" t="s">
        <v>160</v>
      </c>
    </row>
    <row r="282" spans="1:12">
      <c r="A282" s="217">
        <v>45703</v>
      </c>
      <c r="B282" s="218" t="s">
        <v>889</v>
      </c>
      <c r="C282" s="218" t="s">
        <v>183</v>
      </c>
      <c r="D282" s="218" t="s">
        <v>120</v>
      </c>
      <c r="E282" s="269">
        <v>170000</v>
      </c>
      <c r="F282" s="219">
        <f t="shared" si="10"/>
        <v>276.95334378805052</v>
      </c>
      <c r="G282" s="220">
        <v>613.82180000000005</v>
      </c>
      <c r="H282" s="77" t="s">
        <v>193</v>
      </c>
      <c r="I282" s="77" t="s">
        <v>890</v>
      </c>
      <c r="J282" s="218" t="s">
        <v>100</v>
      </c>
      <c r="K282" s="218" t="s">
        <v>451</v>
      </c>
      <c r="L282" s="218" t="s">
        <v>160</v>
      </c>
    </row>
    <row r="283" spans="1:12">
      <c r="A283" s="217">
        <v>45703</v>
      </c>
      <c r="B283" s="218" t="s">
        <v>564</v>
      </c>
      <c r="C283" s="218" t="s">
        <v>469</v>
      </c>
      <c r="D283" s="218" t="s">
        <v>120</v>
      </c>
      <c r="E283" s="269">
        <v>45000</v>
      </c>
      <c r="F283" s="219">
        <f t="shared" si="10"/>
        <v>73.311179238013366</v>
      </c>
      <c r="G283" s="220">
        <v>613.82180000000005</v>
      </c>
      <c r="H283" s="77" t="s">
        <v>196</v>
      </c>
      <c r="I283" s="77" t="s">
        <v>565</v>
      </c>
      <c r="J283" s="218" t="s">
        <v>100</v>
      </c>
      <c r="K283" s="218" t="s">
        <v>451</v>
      </c>
      <c r="L283" s="218" t="s">
        <v>160</v>
      </c>
    </row>
    <row r="284" spans="1:12">
      <c r="A284" s="217">
        <v>45703</v>
      </c>
      <c r="B284" s="218" t="s">
        <v>917</v>
      </c>
      <c r="C284" s="218" t="s">
        <v>183</v>
      </c>
      <c r="D284" s="218" t="s">
        <v>120</v>
      </c>
      <c r="E284" s="269">
        <v>30000</v>
      </c>
      <c r="F284" s="219">
        <f t="shared" si="10"/>
        <v>48.874119492008916</v>
      </c>
      <c r="G284" s="220">
        <v>613.82180000000005</v>
      </c>
      <c r="H284" s="77" t="s">
        <v>199</v>
      </c>
      <c r="I284" s="77" t="s">
        <v>918</v>
      </c>
      <c r="J284" s="218" t="s">
        <v>100</v>
      </c>
      <c r="K284" s="218" t="s">
        <v>451</v>
      </c>
      <c r="L284" s="218" t="s">
        <v>160</v>
      </c>
    </row>
    <row r="285" spans="1:12">
      <c r="A285" s="217">
        <v>45703</v>
      </c>
      <c r="B285" s="218" t="s">
        <v>919</v>
      </c>
      <c r="C285" s="218" t="s">
        <v>179</v>
      </c>
      <c r="D285" s="218" t="s">
        <v>120</v>
      </c>
      <c r="E285" s="269">
        <v>4000</v>
      </c>
      <c r="F285" s="219">
        <f t="shared" si="10"/>
        <v>6.5165492656011885</v>
      </c>
      <c r="G285" s="220">
        <v>613.82180000000005</v>
      </c>
      <c r="H285" s="77" t="s">
        <v>199</v>
      </c>
      <c r="I285" s="77" t="s">
        <v>920</v>
      </c>
      <c r="J285" s="218" t="s">
        <v>100</v>
      </c>
      <c r="K285" s="218" t="s">
        <v>451</v>
      </c>
      <c r="L285" s="218" t="s">
        <v>160</v>
      </c>
    </row>
    <row r="286" spans="1:12">
      <c r="A286" s="217">
        <v>45703</v>
      </c>
      <c r="B286" s="218" t="s">
        <v>536</v>
      </c>
      <c r="C286" s="218" t="s">
        <v>183</v>
      </c>
      <c r="D286" s="218" t="s">
        <v>123</v>
      </c>
      <c r="E286" s="269">
        <v>130000</v>
      </c>
      <c r="F286" s="219">
        <f t="shared" si="10"/>
        <v>211.78785113203864</v>
      </c>
      <c r="G286" s="220">
        <v>613.82180000000005</v>
      </c>
      <c r="H286" s="77" t="s">
        <v>220</v>
      </c>
      <c r="I286" s="77" t="s">
        <v>537</v>
      </c>
      <c r="J286" s="218" t="s">
        <v>100</v>
      </c>
      <c r="K286" s="218" t="s">
        <v>451</v>
      </c>
      <c r="L286" s="218" t="s">
        <v>160</v>
      </c>
    </row>
    <row r="287" spans="1:12">
      <c r="A287" s="217">
        <v>45703</v>
      </c>
      <c r="B287" s="218" t="s">
        <v>921</v>
      </c>
      <c r="C287" s="218" t="s">
        <v>179</v>
      </c>
      <c r="D287" s="218" t="s">
        <v>120</v>
      </c>
      <c r="E287" s="269">
        <v>7000</v>
      </c>
      <c r="F287" s="219">
        <f t="shared" si="10"/>
        <v>11.403961214802081</v>
      </c>
      <c r="G287" s="220">
        <v>613.82180000000005</v>
      </c>
      <c r="H287" s="77" t="s">
        <v>199</v>
      </c>
      <c r="I287" s="77" t="s">
        <v>922</v>
      </c>
      <c r="J287" s="218" t="s">
        <v>100</v>
      </c>
      <c r="K287" s="218" t="s">
        <v>451</v>
      </c>
      <c r="L287" s="218" t="s">
        <v>160</v>
      </c>
    </row>
    <row r="288" spans="1:12">
      <c r="A288" s="217">
        <v>45705</v>
      </c>
      <c r="B288" s="218" t="s">
        <v>699</v>
      </c>
      <c r="C288" s="218" t="s">
        <v>156</v>
      </c>
      <c r="D288" s="218" t="s">
        <v>124</v>
      </c>
      <c r="E288" s="269">
        <v>15000</v>
      </c>
      <c r="F288" s="219">
        <f t="shared" si="10"/>
        <v>24.437059746004458</v>
      </c>
      <c r="G288" s="220">
        <v>613.82180000000005</v>
      </c>
      <c r="H288" s="77" t="s">
        <v>162</v>
      </c>
      <c r="I288" s="77" t="s">
        <v>700</v>
      </c>
      <c r="J288" s="218" t="s">
        <v>100</v>
      </c>
      <c r="K288" s="218" t="s">
        <v>451</v>
      </c>
      <c r="L288" s="218" t="s">
        <v>160</v>
      </c>
    </row>
    <row r="289" spans="1:12">
      <c r="A289" s="217">
        <v>45706</v>
      </c>
      <c r="B289" s="218" t="s">
        <v>702</v>
      </c>
      <c r="C289" s="218" t="s">
        <v>188</v>
      </c>
      <c r="D289" s="218" t="s">
        <v>121</v>
      </c>
      <c r="E289" s="269">
        <v>9000</v>
      </c>
      <c r="F289" s="219">
        <f t="shared" si="10"/>
        <v>14.662235847602675</v>
      </c>
      <c r="G289" s="220">
        <v>613.82180000000005</v>
      </c>
      <c r="H289" s="77" t="s">
        <v>671</v>
      </c>
      <c r="I289" s="77" t="s">
        <v>703</v>
      </c>
      <c r="J289" s="218" t="s">
        <v>100</v>
      </c>
      <c r="K289" s="218" t="s">
        <v>451</v>
      </c>
      <c r="L289" s="218" t="s">
        <v>160</v>
      </c>
    </row>
    <row r="290" spans="1:12">
      <c r="A290" s="217">
        <v>45706</v>
      </c>
      <c r="B290" s="218" t="s">
        <v>991</v>
      </c>
      <c r="C290" s="218" t="s">
        <v>183</v>
      </c>
      <c r="D290" s="218" t="s">
        <v>124</v>
      </c>
      <c r="E290" s="269">
        <v>45000</v>
      </c>
      <c r="F290" s="219">
        <f t="shared" si="10"/>
        <v>73.311179238013366</v>
      </c>
      <c r="G290" s="220">
        <v>613.82180000000005</v>
      </c>
      <c r="H290" s="77" t="s">
        <v>327</v>
      </c>
      <c r="I290" s="77" t="s">
        <v>949</v>
      </c>
      <c r="J290" s="218" t="s">
        <v>100</v>
      </c>
      <c r="K290" s="218" t="s">
        <v>451</v>
      </c>
      <c r="L290" s="218" t="s">
        <v>160</v>
      </c>
    </row>
    <row r="291" spans="1:12">
      <c r="A291" s="217">
        <v>45706</v>
      </c>
      <c r="B291" s="218" t="s">
        <v>989</v>
      </c>
      <c r="C291" s="218" t="s">
        <v>179</v>
      </c>
      <c r="D291" s="218" t="s">
        <v>124</v>
      </c>
      <c r="E291" s="269">
        <v>4000</v>
      </c>
      <c r="F291" s="219">
        <f t="shared" si="10"/>
        <v>6.5165492656011885</v>
      </c>
      <c r="G291" s="220">
        <v>613.82180000000005</v>
      </c>
      <c r="H291" s="77" t="s">
        <v>327</v>
      </c>
      <c r="I291" s="77" t="s">
        <v>950</v>
      </c>
      <c r="J291" s="218" t="s">
        <v>100</v>
      </c>
      <c r="K291" s="218" t="s">
        <v>451</v>
      </c>
      <c r="L291" s="218" t="s">
        <v>160</v>
      </c>
    </row>
    <row r="292" spans="1:12">
      <c r="A292" s="217">
        <v>45706</v>
      </c>
      <c r="B292" s="218" t="s">
        <v>704</v>
      </c>
      <c r="C292" s="218" t="s">
        <v>263</v>
      </c>
      <c r="D292" s="218" t="s">
        <v>120</v>
      </c>
      <c r="E292" s="269">
        <v>70000</v>
      </c>
      <c r="F292" s="219">
        <f t="shared" si="10"/>
        <v>114.03961214802079</v>
      </c>
      <c r="G292" s="220">
        <v>613.82180000000005</v>
      </c>
      <c r="H292" s="77" t="s">
        <v>199</v>
      </c>
      <c r="I292" s="77" t="s">
        <v>705</v>
      </c>
      <c r="J292" s="218" t="s">
        <v>100</v>
      </c>
      <c r="K292" s="218" t="s">
        <v>451</v>
      </c>
      <c r="L292" s="218" t="s">
        <v>160</v>
      </c>
    </row>
    <row r="293" spans="1:12">
      <c r="A293" s="217">
        <v>45707</v>
      </c>
      <c r="B293" s="218" t="s">
        <v>976</v>
      </c>
      <c r="C293" s="218" t="s">
        <v>379</v>
      </c>
      <c r="D293" s="218" t="s">
        <v>124</v>
      </c>
      <c r="E293" s="269">
        <v>30000</v>
      </c>
      <c r="F293" s="219">
        <f t="shared" si="10"/>
        <v>48.874119492008916</v>
      </c>
      <c r="G293" s="220">
        <v>613.82180000000005</v>
      </c>
      <c r="H293" s="77" t="s">
        <v>162</v>
      </c>
      <c r="I293" s="77" t="s">
        <v>713</v>
      </c>
      <c r="J293" s="218" t="s">
        <v>100</v>
      </c>
      <c r="K293" s="218" t="s">
        <v>451</v>
      </c>
      <c r="L293" s="218" t="s">
        <v>160</v>
      </c>
    </row>
    <row r="294" spans="1:12">
      <c r="A294" s="217">
        <v>45707</v>
      </c>
      <c r="B294" s="218" t="s">
        <v>714</v>
      </c>
      <c r="C294" s="218" t="s">
        <v>188</v>
      </c>
      <c r="D294" s="218" t="s">
        <v>121</v>
      </c>
      <c r="E294" s="269">
        <v>1952</v>
      </c>
      <c r="F294" s="219">
        <f t="shared" si="10"/>
        <v>3.3698684387478939</v>
      </c>
      <c r="G294" s="220">
        <v>579.25109999999995</v>
      </c>
      <c r="H294" s="77" t="s">
        <v>162</v>
      </c>
      <c r="I294" s="77" t="s">
        <v>715</v>
      </c>
      <c r="J294" s="218" t="s">
        <v>100</v>
      </c>
      <c r="K294" s="218" t="s">
        <v>209</v>
      </c>
      <c r="L294" s="218" t="s">
        <v>160</v>
      </c>
    </row>
    <row r="295" spans="1:12">
      <c r="A295" s="217">
        <v>45707</v>
      </c>
      <c r="B295" s="218" t="s">
        <v>716</v>
      </c>
      <c r="C295" s="218" t="s">
        <v>188</v>
      </c>
      <c r="D295" s="218" t="s">
        <v>121</v>
      </c>
      <c r="E295" s="269">
        <v>14250</v>
      </c>
      <c r="F295" s="219">
        <f t="shared" si="10"/>
        <v>23.215206758704234</v>
      </c>
      <c r="G295" s="220">
        <v>613.82180000000005</v>
      </c>
      <c r="H295" s="77" t="s">
        <v>671</v>
      </c>
      <c r="I295" s="77" t="s">
        <v>717</v>
      </c>
      <c r="J295" s="218" t="s">
        <v>100</v>
      </c>
      <c r="K295" s="218" t="s">
        <v>451</v>
      </c>
      <c r="L295" s="218" t="s">
        <v>160</v>
      </c>
    </row>
    <row r="296" spans="1:12">
      <c r="A296" s="217">
        <v>45708</v>
      </c>
      <c r="B296" s="218" t="s">
        <v>992</v>
      </c>
      <c r="C296" s="218" t="s">
        <v>183</v>
      </c>
      <c r="D296" s="218" t="s">
        <v>124</v>
      </c>
      <c r="E296" s="269">
        <v>30000</v>
      </c>
      <c r="F296" s="219">
        <f t="shared" si="10"/>
        <v>48.874119492008916</v>
      </c>
      <c r="G296" s="220">
        <v>613.82180000000005</v>
      </c>
      <c r="H296" s="77" t="s">
        <v>327</v>
      </c>
      <c r="I296" s="77" t="s">
        <v>951</v>
      </c>
      <c r="J296" s="218" t="s">
        <v>100</v>
      </c>
      <c r="K296" s="218" t="s">
        <v>451</v>
      </c>
      <c r="L296" s="218" t="s">
        <v>160</v>
      </c>
    </row>
    <row r="297" spans="1:12">
      <c r="A297" s="217">
        <v>45708</v>
      </c>
      <c r="B297" s="218" t="s">
        <v>989</v>
      </c>
      <c r="C297" s="218" t="s">
        <v>179</v>
      </c>
      <c r="D297" s="218" t="s">
        <v>124</v>
      </c>
      <c r="E297" s="269">
        <v>4000</v>
      </c>
      <c r="F297" s="219">
        <f t="shared" si="10"/>
        <v>6.5165492656011885</v>
      </c>
      <c r="G297" s="220">
        <v>613.82180000000005</v>
      </c>
      <c r="H297" s="77" t="s">
        <v>327</v>
      </c>
      <c r="I297" s="77" t="s">
        <v>952</v>
      </c>
      <c r="J297" s="218" t="s">
        <v>100</v>
      </c>
      <c r="K297" s="218" t="s">
        <v>451</v>
      </c>
      <c r="L297" s="218" t="s">
        <v>160</v>
      </c>
    </row>
    <row r="298" spans="1:12">
      <c r="A298" s="217">
        <v>45708</v>
      </c>
      <c r="B298" s="218" t="s">
        <v>567</v>
      </c>
      <c r="C298" s="218" t="s">
        <v>469</v>
      </c>
      <c r="D298" s="218" t="s">
        <v>120</v>
      </c>
      <c r="E298" s="269">
        <v>75000</v>
      </c>
      <c r="F298" s="219">
        <f t="shared" si="10"/>
        <v>122.18529873002228</v>
      </c>
      <c r="G298" s="220">
        <v>613.82180000000005</v>
      </c>
      <c r="H298" s="77" t="s">
        <v>196</v>
      </c>
      <c r="I298" s="77" t="s">
        <v>568</v>
      </c>
      <c r="J298" s="218" t="s">
        <v>100</v>
      </c>
      <c r="K298" s="218" t="s">
        <v>451</v>
      </c>
      <c r="L298" s="218" t="s">
        <v>160</v>
      </c>
    </row>
    <row r="299" spans="1:12">
      <c r="A299" s="217">
        <v>45709</v>
      </c>
      <c r="B299" s="218" t="s">
        <v>681</v>
      </c>
      <c r="C299" s="218" t="s">
        <v>188</v>
      </c>
      <c r="D299" s="218" t="s">
        <v>121</v>
      </c>
      <c r="E299" s="269">
        <v>14700</v>
      </c>
      <c r="F299" s="219">
        <f t="shared" si="10"/>
        <v>23.94831855108437</v>
      </c>
      <c r="G299" s="220">
        <v>613.82180000000005</v>
      </c>
      <c r="H299" s="77" t="s">
        <v>199</v>
      </c>
      <c r="I299" s="77" t="s">
        <v>727</v>
      </c>
      <c r="J299" s="218" t="s">
        <v>100</v>
      </c>
      <c r="K299" s="218" t="s">
        <v>451</v>
      </c>
      <c r="L299" s="218" t="s">
        <v>160</v>
      </c>
    </row>
    <row r="300" spans="1:12">
      <c r="A300" s="217">
        <v>45710</v>
      </c>
      <c r="B300" s="218" t="s">
        <v>968</v>
      </c>
      <c r="C300" s="218" t="s">
        <v>469</v>
      </c>
      <c r="D300" s="218" t="s">
        <v>120</v>
      </c>
      <c r="E300" s="269">
        <v>105000</v>
      </c>
      <c r="F300" s="219">
        <f t="shared" si="10"/>
        <v>171.05941822203121</v>
      </c>
      <c r="G300" s="220">
        <v>613.82180000000005</v>
      </c>
      <c r="H300" s="77" t="s">
        <v>207</v>
      </c>
      <c r="I300" s="77" t="s">
        <v>582</v>
      </c>
      <c r="J300" s="218" t="s">
        <v>100</v>
      </c>
      <c r="K300" s="218" t="s">
        <v>451</v>
      </c>
      <c r="L300" s="218" t="s">
        <v>160</v>
      </c>
    </row>
    <row r="301" spans="1:12">
      <c r="A301" s="217">
        <v>45710</v>
      </c>
      <c r="B301" s="218" t="s">
        <v>1010</v>
      </c>
      <c r="C301" s="218" t="s">
        <v>469</v>
      </c>
      <c r="D301" s="218" t="s">
        <v>124</v>
      </c>
      <c r="E301" s="269">
        <v>180000</v>
      </c>
      <c r="F301" s="219">
        <f t="shared" si="10"/>
        <v>293.24471695205347</v>
      </c>
      <c r="G301" s="220">
        <v>613.82180000000005</v>
      </c>
      <c r="H301" s="77" t="s">
        <v>181</v>
      </c>
      <c r="I301" s="77" t="s">
        <v>851</v>
      </c>
      <c r="J301" s="218" t="s">
        <v>100</v>
      </c>
      <c r="K301" s="218" t="s">
        <v>451</v>
      </c>
      <c r="L301" s="218" t="s">
        <v>160</v>
      </c>
    </row>
    <row r="302" spans="1:12">
      <c r="A302" s="217">
        <v>45710</v>
      </c>
      <c r="B302" s="218" t="s">
        <v>993</v>
      </c>
      <c r="C302" s="218" t="s">
        <v>183</v>
      </c>
      <c r="D302" s="218" t="s">
        <v>124</v>
      </c>
      <c r="E302" s="269">
        <v>30000</v>
      </c>
      <c r="F302" s="219">
        <f t="shared" si="10"/>
        <v>48.874119492008916</v>
      </c>
      <c r="G302" s="220">
        <v>613.82180000000005</v>
      </c>
      <c r="H302" s="77" t="s">
        <v>327</v>
      </c>
      <c r="I302" s="77" t="s">
        <v>953</v>
      </c>
      <c r="J302" s="218" t="s">
        <v>100</v>
      </c>
      <c r="K302" s="218" t="s">
        <v>451</v>
      </c>
      <c r="L302" s="218" t="s">
        <v>160</v>
      </c>
    </row>
    <row r="303" spans="1:12">
      <c r="A303" s="217">
        <v>45710</v>
      </c>
      <c r="B303" s="218" t="s">
        <v>989</v>
      </c>
      <c r="C303" s="218" t="s">
        <v>179</v>
      </c>
      <c r="D303" s="218" t="s">
        <v>124</v>
      </c>
      <c r="E303" s="269">
        <v>7000</v>
      </c>
      <c r="F303" s="219">
        <f t="shared" si="10"/>
        <v>11.403961214802081</v>
      </c>
      <c r="G303" s="220">
        <v>613.82180000000005</v>
      </c>
      <c r="H303" s="77" t="s">
        <v>327</v>
      </c>
      <c r="I303" s="77" t="s">
        <v>954</v>
      </c>
      <c r="J303" s="218" t="s">
        <v>100</v>
      </c>
      <c r="K303" s="218" t="s">
        <v>451</v>
      </c>
      <c r="L303" s="218" t="s">
        <v>160</v>
      </c>
    </row>
    <row r="304" spans="1:12">
      <c r="A304" s="217">
        <v>45711</v>
      </c>
      <c r="B304" s="218" t="s">
        <v>852</v>
      </c>
      <c r="C304" s="218" t="s">
        <v>379</v>
      </c>
      <c r="D304" s="218" t="s">
        <v>124</v>
      </c>
      <c r="E304" s="269">
        <v>68000</v>
      </c>
      <c r="F304" s="219">
        <f t="shared" si="10"/>
        <v>110.7813375152202</v>
      </c>
      <c r="G304" s="220">
        <v>613.82180000000005</v>
      </c>
      <c r="H304" s="77" t="s">
        <v>181</v>
      </c>
      <c r="I304" s="77" t="s">
        <v>853</v>
      </c>
      <c r="J304" s="218" t="s">
        <v>100</v>
      </c>
      <c r="K304" s="218" t="s">
        <v>451</v>
      </c>
      <c r="L304" s="218" t="s">
        <v>160</v>
      </c>
    </row>
    <row r="305" spans="1:12">
      <c r="A305" s="217">
        <v>45712</v>
      </c>
      <c r="B305" s="218" t="s">
        <v>585</v>
      </c>
      <c r="C305" s="218" t="s">
        <v>469</v>
      </c>
      <c r="D305" s="218" t="s">
        <v>206</v>
      </c>
      <c r="E305" s="269">
        <v>10500</v>
      </c>
      <c r="F305" s="219">
        <f t="shared" si="10"/>
        <v>17.105941822203121</v>
      </c>
      <c r="G305" s="220">
        <v>613.82180000000005</v>
      </c>
      <c r="H305" s="77" t="s">
        <v>207</v>
      </c>
      <c r="I305" s="77" t="s">
        <v>586</v>
      </c>
      <c r="J305" s="218" t="s">
        <v>100</v>
      </c>
      <c r="K305" s="218" t="s">
        <v>451</v>
      </c>
      <c r="L305" s="218" t="s">
        <v>160</v>
      </c>
    </row>
    <row r="306" spans="1:12">
      <c r="A306" s="217">
        <v>45712</v>
      </c>
      <c r="B306" s="218" t="s">
        <v>587</v>
      </c>
      <c r="C306" s="218" t="s">
        <v>177</v>
      </c>
      <c r="D306" s="218" t="s">
        <v>206</v>
      </c>
      <c r="E306" s="269">
        <v>1500</v>
      </c>
      <c r="F306" s="219">
        <f t="shared" si="10"/>
        <v>2.4437059746004457</v>
      </c>
      <c r="G306" s="220">
        <v>613.82180000000005</v>
      </c>
      <c r="H306" s="77" t="s">
        <v>207</v>
      </c>
      <c r="I306" s="77" t="s">
        <v>588</v>
      </c>
      <c r="J306" s="218" t="s">
        <v>100</v>
      </c>
      <c r="K306" s="218" t="s">
        <v>451</v>
      </c>
      <c r="L306" s="218" t="s">
        <v>160</v>
      </c>
    </row>
    <row r="307" spans="1:12">
      <c r="A307" s="217">
        <v>45712</v>
      </c>
      <c r="B307" s="218" t="s">
        <v>738</v>
      </c>
      <c r="C307" s="218" t="s">
        <v>156</v>
      </c>
      <c r="D307" s="218" t="s">
        <v>122</v>
      </c>
      <c r="E307" s="269">
        <v>5000</v>
      </c>
      <c r="F307" s="219">
        <f t="shared" si="10"/>
        <v>8.1456865820014865</v>
      </c>
      <c r="G307" s="220">
        <v>613.82180000000005</v>
      </c>
      <c r="H307" s="77" t="s">
        <v>162</v>
      </c>
      <c r="I307" s="77" t="s">
        <v>739</v>
      </c>
      <c r="J307" s="218" t="s">
        <v>100</v>
      </c>
      <c r="K307" s="218" t="s">
        <v>451</v>
      </c>
      <c r="L307" s="218" t="s">
        <v>160</v>
      </c>
    </row>
    <row r="308" spans="1:12">
      <c r="A308" s="217">
        <v>45712</v>
      </c>
      <c r="B308" s="218" t="s">
        <v>1006</v>
      </c>
      <c r="C308" s="218" t="s">
        <v>183</v>
      </c>
      <c r="D308" s="218" t="s">
        <v>124</v>
      </c>
      <c r="E308" s="269">
        <v>210000</v>
      </c>
      <c r="F308" s="219">
        <f t="shared" si="10"/>
        <v>342.11883644406242</v>
      </c>
      <c r="G308" s="220">
        <v>613.82180000000005</v>
      </c>
      <c r="H308" s="77" t="s">
        <v>190</v>
      </c>
      <c r="I308" s="77" t="s">
        <v>828</v>
      </c>
      <c r="J308" s="218" t="s">
        <v>100</v>
      </c>
      <c r="K308" s="218" t="s">
        <v>451</v>
      </c>
      <c r="L308" s="218" t="s">
        <v>160</v>
      </c>
    </row>
    <row r="309" spans="1:12">
      <c r="A309" s="217">
        <v>45712</v>
      </c>
      <c r="B309" s="218" t="s">
        <v>1014</v>
      </c>
      <c r="C309" s="218" t="s">
        <v>179</v>
      </c>
      <c r="D309" s="218" t="s">
        <v>206</v>
      </c>
      <c r="E309" s="269">
        <v>50000</v>
      </c>
      <c r="F309" s="219">
        <f t="shared" si="10"/>
        <v>81.456865820014855</v>
      </c>
      <c r="G309" s="220">
        <v>613.82180000000005</v>
      </c>
      <c r="H309" s="77" t="s">
        <v>190</v>
      </c>
      <c r="I309" s="77" t="s">
        <v>829</v>
      </c>
      <c r="J309" s="218" t="s">
        <v>100</v>
      </c>
      <c r="K309" s="218" t="s">
        <v>451</v>
      </c>
      <c r="L309" s="218" t="s">
        <v>160</v>
      </c>
    </row>
    <row r="310" spans="1:12">
      <c r="A310" s="217">
        <v>45712</v>
      </c>
      <c r="B310" s="218" t="s">
        <v>1015</v>
      </c>
      <c r="C310" s="218" t="s">
        <v>179</v>
      </c>
      <c r="D310" s="218" t="s">
        <v>206</v>
      </c>
      <c r="E310" s="269">
        <v>8000</v>
      </c>
      <c r="F310" s="219">
        <f t="shared" ref="F310:F341" si="11">E310/G310</f>
        <v>13.033098531202377</v>
      </c>
      <c r="G310" s="220">
        <v>613.82180000000005</v>
      </c>
      <c r="H310" s="77" t="s">
        <v>190</v>
      </c>
      <c r="I310" s="77" t="s">
        <v>830</v>
      </c>
      <c r="J310" s="218" t="s">
        <v>100</v>
      </c>
      <c r="K310" s="218" t="s">
        <v>451</v>
      </c>
      <c r="L310" s="218" t="s">
        <v>160</v>
      </c>
    </row>
    <row r="311" spans="1:12">
      <c r="A311" s="217">
        <v>45712</v>
      </c>
      <c r="B311" s="218" t="s">
        <v>1016</v>
      </c>
      <c r="C311" s="218" t="s">
        <v>179</v>
      </c>
      <c r="D311" s="218" t="s">
        <v>206</v>
      </c>
      <c r="E311" s="269">
        <v>8000</v>
      </c>
      <c r="F311" s="219">
        <f t="shared" si="11"/>
        <v>13.033098531202377</v>
      </c>
      <c r="G311" s="220">
        <v>613.82180000000005</v>
      </c>
      <c r="H311" s="77" t="s">
        <v>190</v>
      </c>
      <c r="I311" s="77" t="s">
        <v>831</v>
      </c>
      <c r="J311" s="218" t="s">
        <v>100</v>
      </c>
      <c r="K311" s="218" t="s">
        <v>451</v>
      </c>
      <c r="L311" s="218" t="s">
        <v>160</v>
      </c>
    </row>
    <row r="312" spans="1:12">
      <c r="A312" s="217">
        <v>45712</v>
      </c>
      <c r="B312" s="218" t="s">
        <v>254</v>
      </c>
      <c r="C312" s="218" t="s">
        <v>183</v>
      </c>
      <c r="D312" s="218" t="s">
        <v>206</v>
      </c>
      <c r="E312" s="269">
        <v>18000</v>
      </c>
      <c r="F312" s="219">
        <f t="shared" si="11"/>
        <v>29.32447169520535</v>
      </c>
      <c r="G312" s="220">
        <v>613.82180000000005</v>
      </c>
      <c r="H312" s="77" t="s">
        <v>193</v>
      </c>
      <c r="I312" s="77" t="s">
        <v>891</v>
      </c>
      <c r="J312" s="218" t="s">
        <v>100</v>
      </c>
      <c r="K312" s="218" t="s">
        <v>451</v>
      </c>
      <c r="L312" s="218" t="s">
        <v>160</v>
      </c>
    </row>
    <row r="313" spans="1:12">
      <c r="A313" s="217">
        <v>45712</v>
      </c>
      <c r="B313" s="218" t="s">
        <v>892</v>
      </c>
      <c r="C313" s="218" t="s">
        <v>179</v>
      </c>
      <c r="D313" s="218" t="s">
        <v>206</v>
      </c>
      <c r="E313" s="269">
        <v>25000</v>
      </c>
      <c r="F313" s="219">
        <f t="shared" si="11"/>
        <v>40.728432910007427</v>
      </c>
      <c r="G313" s="220">
        <v>613.82180000000005</v>
      </c>
      <c r="H313" s="77" t="s">
        <v>193</v>
      </c>
      <c r="I313" s="77" t="s">
        <v>893</v>
      </c>
      <c r="J313" s="218" t="s">
        <v>100</v>
      </c>
      <c r="K313" s="218" t="s">
        <v>451</v>
      </c>
      <c r="L313" s="218" t="s">
        <v>160</v>
      </c>
    </row>
    <row r="314" spans="1:12">
      <c r="A314" s="217">
        <v>45712</v>
      </c>
      <c r="B314" s="218" t="s">
        <v>570</v>
      </c>
      <c r="C314" s="218" t="s">
        <v>469</v>
      </c>
      <c r="D314" s="218" t="s">
        <v>120</v>
      </c>
      <c r="E314" s="269">
        <v>5100</v>
      </c>
      <c r="F314" s="219">
        <f t="shared" si="11"/>
        <v>8.3086003136415147</v>
      </c>
      <c r="G314" s="220">
        <v>613.82180000000005</v>
      </c>
      <c r="H314" s="77" t="s">
        <v>196</v>
      </c>
      <c r="I314" s="77" t="s">
        <v>571</v>
      </c>
      <c r="J314" s="218" t="s">
        <v>100</v>
      </c>
      <c r="K314" s="218" t="s">
        <v>451</v>
      </c>
      <c r="L314" s="218" t="s">
        <v>160</v>
      </c>
    </row>
    <row r="315" spans="1:12">
      <c r="A315" s="217">
        <v>45712</v>
      </c>
      <c r="B315" s="269" t="s">
        <v>978</v>
      </c>
      <c r="C315" s="218" t="s">
        <v>188</v>
      </c>
      <c r="D315" s="218" t="s">
        <v>121</v>
      </c>
      <c r="E315" s="269">
        <v>8100</v>
      </c>
      <c r="F315" s="219">
        <f t="shared" si="11"/>
        <v>13.196012262842407</v>
      </c>
      <c r="G315" s="220">
        <v>613.82180000000005</v>
      </c>
      <c r="H315" s="77" t="s">
        <v>199</v>
      </c>
      <c r="I315" s="77" t="s">
        <v>737</v>
      </c>
      <c r="J315" s="218" t="s">
        <v>100</v>
      </c>
      <c r="K315" s="218" t="s">
        <v>451</v>
      </c>
      <c r="L315" s="218" t="s">
        <v>160</v>
      </c>
    </row>
    <row r="316" spans="1:12">
      <c r="A316" s="217">
        <v>45712</v>
      </c>
      <c r="B316" s="218" t="s">
        <v>269</v>
      </c>
      <c r="C316" s="218" t="s">
        <v>183</v>
      </c>
      <c r="D316" s="218" t="s">
        <v>206</v>
      </c>
      <c r="E316" s="269">
        <v>9800</v>
      </c>
      <c r="F316" s="219">
        <f t="shared" si="11"/>
        <v>15.965545700722911</v>
      </c>
      <c r="G316" s="220">
        <v>613.82180000000005</v>
      </c>
      <c r="H316" s="77" t="s">
        <v>220</v>
      </c>
      <c r="I316" s="77" t="s">
        <v>540</v>
      </c>
      <c r="J316" s="218" t="s">
        <v>100</v>
      </c>
      <c r="K316" s="218" t="s">
        <v>451</v>
      </c>
      <c r="L316" s="218" t="s">
        <v>160</v>
      </c>
    </row>
    <row r="317" spans="1:12">
      <c r="A317" s="217">
        <v>45713</v>
      </c>
      <c r="B317" s="218" t="s">
        <v>794</v>
      </c>
      <c r="C317" s="218" t="s">
        <v>179</v>
      </c>
      <c r="D317" s="218" t="s">
        <v>122</v>
      </c>
      <c r="E317" s="269">
        <v>7000</v>
      </c>
      <c r="F317" s="219">
        <f t="shared" si="11"/>
        <v>11.403961214802081</v>
      </c>
      <c r="G317" s="220">
        <v>613.82180000000005</v>
      </c>
      <c r="H317" s="77" t="s">
        <v>157</v>
      </c>
      <c r="I317" s="77" t="s">
        <v>795</v>
      </c>
      <c r="J317" s="218" t="s">
        <v>100</v>
      </c>
      <c r="K317" s="218" t="s">
        <v>451</v>
      </c>
      <c r="L317" s="218" t="s">
        <v>160</v>
      </c>
    </row>
    <row r="318" spans="1:12">
      <c r="A318" s="217">
        <v>45713</v>
      </c>
      <c r="B318" s="218" t="s">
        <v>796</v>
      </c>
      <c r="C318" s="218" t="s">
        <v>469</v>
      </c>
      <c r="D318" s="218" t="s">
        <v>122</v>
      </c>
      <c r="E318" s="269">
        <v>150000</v>
      </c>
      <c r="F318" s="219">
        <f t="shared" si="11"/>
        <v>244.37059746004456</v>
      </c>
      <c r="G318" s="220">
        <v>613.82180000000005</v>
      </c>
      <c r="H318" s="77" t="s">
        <v>157</v>
      </c>
      <c r="I318" s="77" t="s">
        <v>797</v>
      </c>
      <c r="J318" s="218" t="s">
        <v>100</v>
      </c>
      <c r="K318" s="218" t="s">
        <v>451</v>
      </c>
      <c r="L318" s="218" t="s">
        <v>160</v>
      </c>
    </row>
    <row r="319" spans="1:12">
      <c r="A319" s="217">
        <v>45713</v>
      </c>
      <c r="B319" s="218" t="s">
        <v>590</v>
      </c>
      <c r="C319" s="218" t="s">
        <v>272</v>
      </c>
      <c r="D319" s="218" t="s">
        <v>206</v>
      </c>
      <c r="E319" s="269">
        <v>180000</v>
      </c>
      <c r="F319" s="219">
        <f t="shared" si="11"/>
        <v>293.24471695205347</v>
      </c>
      <c r="G319" s="220">
        <v>613.82180000000005</v>
      </c>
      <c r="H319" s="77" t="s">
        <v>207</v>
      </c>
      <c r="I319" s="77" t="s">
        <v>591</v>
      </c>
      <c r="J319" s="218" t="s">
        <v>100</v>
      </c>
      <c r="K319" s="218" t="s">
        <v>451</v>
      </c>
      <c r="L319" s="218" t="s">
        <v>160</v>
      </c>
    </row>
    <row r="320" spans="1:12">
      <c r="A320" s="217">
        <v>45713</v>
      </c>
      <c r="B320" s="218" t="s">
        <v>592</v>
      </c>
      <c r="C320" s="218" t="s">
        <v>272</v>
      </c>
      <c r="D320" s="218" t="s">
        <v>206</v>
      </c>
      <c r="E320" s="269">
        <v>20000</v>
      </c>
      <c r="F320" s="219">
        <f t="shared" si="11"/>
        <v>32.582746328005946</v>
      </c>
      <c r="G320" s="220">
        <v>613.82180000000005</v>
      </c>
      <c r="H320" s="77" t="s">
        <v>207</v>
      </c>
      <c r="I320" s="77" t="s">
        <v>593</v>
      </c>
      <c r="J320" s="218" t="s">
        <v>100</v>
      </c>
      <c r="K320" s="218" t="s">
        <v>451</v>
      </c>
      <c r="L320" s="218" t="s">
        <v>160</v>
      </c>
    </row>
    <row r="321" spans="1:12">
      <c r="A321" s="217">
        <v>45713</v>
      </c>
      <c r="B321" s="218" t="s">
        <v>1017</v>
      </c>
      <c r="C321" s="218" t="s">
        <v>469</v>
      </c>
      <c r="D321" s="218" t="s">
        <v>206</v>
      </c>
      <c r="E321" s="218">
        <v>105000</v>
      </c>
      <c r="F321" s="219">
        <f t="shared" si="11"/>
        <v>181.26853794494306</v>
      </c>
      <c r="G321" s="220">
        <v>579.25109999999995</v>
      </c>
      <c r="H321" s="77" t="s">
        <v>190</v>
      </c>
      <c r="I321" s="77" t="s">
        <v>833</v>
      </c>
      <c r="J321" s="218" t="s">
        <v>100</v>
      </c>
      <c r="K321" s="218" t="s">
        <v>209</v>
      </c>
      <c r="L321" s="218" t="s">
        <v>160</v>
      </c>
    </row>
    <row r="322" spans="1:12">
      <c r="A322" s="217">
        <v>45713</v>
      </c>
      <c r="B322" s="218" t="s">
        <v>1018</v>
      </c>
      <c r="C322" s="218" t="s">
        <v>469</v>
      </c>
      <c r="D322" s="218" t="s">
        <v>206</v>
      </c>
      <c r="E322" s="218">
        <v>105000</v>
      </c>
      <c r="F322" s="219">
        <f t="shared" si="11"/>
        <v>181.26853794494306</v>
      </c>
      <c r="G322" s="220">
        <v>579.25109999999995</v>
      </c>
      <c r="H322" s="77" t="s">
        <v>190</v>
      </c>
      <c r="I322" s="77" t="s">
        <v>834</v>
      </c>
      <c r="J322" s="218" t="s">
        <v>100</v>
      </c>
      <c r="K322" s="218" t="s">
        <v>209</v>
      </c>
      <c r="L322" s="218" t="s">
        <v>160</v>
      </c>
    </row>
    <row r="323" spans="1:12">
      <c r="A323" s="217">
        <v>45713</v>
      </c>
      <c r="B323" s="218" t="s">
        <v>989</v>
      </c>
      <c r="C323" s="218" t="s">
        <v>179</v>
      </c>
      <c r="D323" s="218" t="s">
        <v>124</v>
      </c>
      <c r="E323" s="269">
        <v>7000</v>
      </c>
      <c r="F323" s="219">
        <f t="shared" si="11"/>
        <v>11.403961214802081</v>
      </c>
      <c r="G323" s="220">
        <v>613.82180000000005</v>
      </c>
      <c r="H323" s="77" t="s">
        <v>327</v>
      </c>
      <c r="I323" s="77" t="s">
        <v>957</v>
      </c>
      <c r="J323" s="218" t="s">
        <v>100</v>
      </c>
      <c r="K323" s="218" t="s">
        <v>451</v>
      </c>
      <c r="L323" s="218" t="s">
        <v>160</v>
      </c>
    </row>
    <row r="324" spans="1:12">
      <c r="A324" s="217">
        <v>45713</v>
      </c>
      <c r="B324" s="218" t="s">
        <v>894</v>
      </c>
      <c r="C324" s="218" t="s">
        <v>183</v>
      </c>
      <c r="D324" s="218" t="s">
        <v>120</v>
      </c>
      <c r="E324" s="269">
        <v>150000</v>
      </c>
      <c r="F324" s="219">
        <f t="shared" si="11"/>
        <v>244.37059746004456</v>
      </c>
      <c r="G324" s="220">
        <v>613.82180000000005</v>
      </c>
      <c r="H324" s="77" t="s">
        <v>193</v>
      </c>
      <c r="I324" s="77" t="s">
        <v>895</v>
      </c>
      <c r="J324" s="218" t="s">
        <v>100</v>
      </c>
      <c r="K324" s="218" t="s">
        <v>451</v>
      </c>
      <c r="L324" s="218" t="s">
        <v>160</v>
      </c>
    </row>
    <row r="325" spans="1:12">
      <c r="A325" s="217">
        <v>45713</v>
      </c>
      <c r="B325" s="218" t="s">
        <v>541</v>
      </c>
      <c r="C325" s="218" t="s">
        <v>183</v>
      </c>
      <c r="D325" s="218" t="s">
        <v>123</v>
      </c>
      <c r="E325" s="269">
        <v>150000</v>
      </c>
      <c r="F325" s="219">
        <f t="shared" si="11"/>
        <v>244.37059746004456</v>
      </c>
      <c r="G325" s="220">
        <v>613.82180000000005</v>
      </c>
      <c r="H325" s="77" t="s">
        <v>220</v>
      </c>
      <c r="I325" s="77" t="s">
        <v>542</v>
      </c>
      <c r="J325" s="218" t="s">
        <v>100</v>
      </c>
      <c r="K325" s="218" t="s">
        <v>451</v>
      </c>
      <c r="L325" s="218" t="s">
        <v>160</v>
      </c>
    </row>
    <row r="326" spans="1:12">
      <c r="A326" s="217">
        <v>45714</v>
      </c>
      <c r="B326" s="218" t="s">
        <v>752</v>
      </c>
      <c r="C326" s="218" t="s">
        <v>263</v>
      </c>
      <c r="D326" s="218" t="s">
        <v>120</v>
      </c>
      <c r="E326" s="269">
        <v>148000</v>
      </c>
      <c r="F326" s="219">
        <f t="shared" si="11"/>
        <v>241.11232282724399</v>
      </c>
      <c r="G326" s="220">
        <v>613.82180000000005</v>
      </c>
      <c r="H326" s="77" t="s">
        <v>162</v>
      </c>
      <c r="I326" s="77" t="s">
        <v>753</v>
      </c>
      <c r="J326" s="218" t="s">
        <v>100</v>
      </c>
      <c r="K326" s="218" t="s">
        <v>451</v>
      </c>
      <c r="L326" s="218" t="s">
        <v>160</v>
      </c>
    </row>
    <row r="327" spans="1:12">
      <c r="A327" s="217">
        <v>45714</v>
      </c>
      <c r="B327" s="218" t="s">
        <v>716</v>
      </c>
      <c r="C327" s="218" t="s">
        <v>188</v>
      </c>
      <c r="D327" s="218" t="s">
        <v>121</v>
      </c>
      <c r="E327" s="269">
        <v>10980</v>
      </c>
      <c r="F327" s="219">
        <f t="shared" si="11"/>
        <v>17.887927734075262</v>
      </c>
      <c r="G327" s="220">
        <v>613.82180000000005</v>
      </c>
      <c r="H327" s="77" t="s">
        <v>671</v>
      </c>
      <c r="I327" s="77" t="s">
        <v>751</v>
      </c>
      <c r="J327" s="218" t="s">
        <v>100</v>
      </c>
      <c r="K327" s="218" t="s">
        <v>451</v>
      </c>
      <c r="L327" s="218" t="s">
        <v>160</v>
      </c>
    </row>
    <row r="328" spans="1:12">
      <c r="A328" s="217">
        <v>45714</v>
      </c>
      <c r="B328" s="218" t="s">
        <v>1000</v>
      </c>
      <c r="C328" s="218" t="s">
        <v>183</v>
      </c>
      <c r="D328" s="218" t="s">
        <v>124</v>
      </c>
      <c r="E328" s="269">
        <v>20000</v>
      </c>
      <c r="F328" s="219">
        <f t="shared" si="11"/>
        <v>32.582746328005946</v>
      </c>
      <c r="G328" s="220">
        <v>613.82180000000005</v>
      </c>
      <c r="H328" s="77" t="s">
        <v>327</v>
      </c>
      <c r="I328" s="77" t="s">
        <v>958</v>
      </c>
      <c r="J328" s="218" t="s">
        <v>100</v>
      </c>
      <c r="K328" s="218" t="s">
        <v>451</v>
      </c>
      <c r="L328" s="218" t="s">
        <v>160</v>
      </c>
    </row>
    <row r="329" spans="1:12">
      <c r="A329" s="217">
        <v>45714</v>
      </c>
      <c r="B329" s="218" t="s">
        <v>877</v>
      </c>
      <c r="C329" s="218" t="s">
        <v>179</v>
      </c>
      <c r="D329" s="218" t="s">
        <v>124</v>
      </c>
      <c r="E329" s="269">
        <v>40100</v>
      </c>
      <c r="F329" s="219">
        <f t="shared" si="11"/>
        <v>65.32840638765191</v>
      </c>
      <c r="G329" s="220">
        <v>613.82180000000005</v>
      </c>
      <c r="H329" s="77" t="s">
        <v>333</v>
      </c>
      <c r="I329" s="77" t="s">
        <v>878</v>
      </c>
      <c r="J329" s="218" t="s">
        <v>100</v>
      </c>
      <c r="K329" s="218" t="s">
        <v>451</v>
      </c>
      <c r="L329" s="218" t="s">
        <v>160</v>
      </c>
    </row>
    <row r="330" spans="1:12">
      <c r="A330" s="217">
        <v>45714</v>
      </c>
      <c r="B330" s="218" t="s">
        <v>573</v>
      </c>
      <c r="C330" s="218" t="s">
        <v>297</v>
      </c>
      <c r="D330" s="218" t="s">
        <v>120</v>
      </c>
      <c r="E330" s="218">
        <v>4000</v>
      </c>
      <c r="F330" s="219">
        <f t="shared" si="11"/>
        <v>6.9054681121883075</v>
      </c>
      <c r="G330" s="220">
        <v>579.25109999999995</v>
      </c>
      <c r="H330" s="77" t="s">
        <v>196</v>
      </c>
      <c r="I330" s="77" t="s">
        <v>574</v>
      </c>
      <c r="J330" s="218" t="s">
        <v>100</v>
      </c>
      <c r="K330" s="218" t="s">
        <v>209</v>
      </c>
      <c r="L330" s="218" t="s">
        <v>160</v>
      </c>
    </row>
    <row r="331" spans="1:12">
      <c r="A331" s="385">
        <v>45715</v>
      </c>
      <c r="B331" s="218" t="s">
        <v>757</v>
      </c>
      <c r="C331" s="218" t="s">
        <v>312</v>
      </c>
      <c r="D331" s="218" t="s">
        <v>121</v>
      </c>
      <c r="E331" s="218">
        <v>20000</v>
      </c>
      <c r="F331" s="219">
        <f t="shared" si="11"/>
        <v>34.527340560941539</v>
      </c>
      <c r="G331" s="220">
        <v>579.25109999999995</v>
      </c>
      <c r="H331" s="77" t="s">
        <v>162</v>
      </c>
      <c r="I331" s="77" t="s">
        <v>758</v>
      </c>
      <c r="J331" s="218" t="s">
        <v>100</v>
      </c>
      <c r="K331" s="218" t="s">
        <v>209</v>
      </c>
      <c r="L331" s="218" t="s">
        <v>160</v>
      </c>
    </row>
    <row r="332" spans="1:12">
      <c r="A332" s="217">
        <v>45715</v>
      </c>
      <c r="B332" s="218" t="s">
        <v>960</v>
      </c>
      <c r="C332" s="218" t="s">
        <v>376</v>
      </c>
      <c r="D332" s="218" t="s">
        <v>124</v>
      </c>
      <c r="E332" s="218">
        <v>29000</v>
      </c>
      <c r="F332" s="219">
        <f t="shared" si="11"/>
        <v>50.06464381336523</v>
      </c>
      <c r="G332" s="220">
        <v>579.25109999999995</v>
      </c>
      <c r="H332" s="77" t="s">
        <v>327</v>
      </c>
      <c r="I332" s="77" t="s">
        <v>961</v>
      </c>
      <c r="J332" s="218" t="s">
        <v>100</v>
      </c>
      <c r="K332" s="218" t="s">
        <v>209</v>
      </c>
      <c r="L332" s="218" t="s">
        <v>160</v>
      </c>
    </row>
    <row r="333" spans="1:12">
      <c r="A333" s="217">
        <v>45715</v>
      </c>
      <c r="B333" s="218" t="s">
        <v>923</v>
      </c>
      <c r="C333" s="218" t="s">
        <v>179</v>
      </c>
      <c r="D333" s="218" t="s">
        <v>120</v>
      </c>
      <c r="E333" s="218">
        <v>26900</v>
      </c>
      <c r="F333" s="219">
        <f t="shared" si="11"/>
        <v>46.439273054466369</v>
      </c>
      <c r="G333" s="220">
        <v>579.25109999999995</v>
      </c>
      <c r="H333" s="77" t="s">
        <v>199</v>
      </c>
      <c r="I333" s="77" t="s">
        <v>924</v>
      </c>
      <c r="J333" s="218" t="s">
        <v>100</v>
      </c>
      <c r="K333" s="218" t="s">
        <v>209</v>
      </c>
      <c r="L333" s="218" t="s">
        <v>160</v>
      </c>
    </row>
    <row r="334" spans="1:12">
      <c r="A334" s="217">
        <v>45715</v>
      </c>
      <c r="B334" s="218" t="s">
        <v>759</v>
      </c>
      <c r="C334" s="218" t="s">
        <v>188</v>
      </c>
      <c r="D334" s="218" t="s">
        <v>121</v>
      </c>
      <c r="E334" s="218">
        <v>560</v>
      </c>
      <c r="F334" s="219">
        <f t="shared" si="11"/>
        <v>0.93929314835967548</v>
      </c>
      <c r="G334" s="218">
        <v>596.19299999999998</v>
      </c>
      <c r="H334" s="77" t="s">
        <v>199</v>
      </c>
      <c r="I334" s="77" t="s">
        <v>760</v>
      </c>
      <c r="J334" s="218" t="s">
        <v>100</v>
      </c>
      <c r="K334" s="218" t="s">
        <v>159</v>
      </c>
      <c r="L334" s="218" t="s">
        <v>160</v>
      </c>
    </row>
    <row r="335" spans="1:12">
      <c r="A335" s="217">
        <v>45715</v>
      </c>
      <c r="B335" s="218" t="s">
        <v>807</v>
      </c>
      <c r="C335" s="218" t="s">
        <v>179</v>
      </c>
      <c r="D335" s="218" t="s">
        <v>122</v>
      </c>
      <c r="E335" s="218">
        <v>39500</v>
      </c>
      <c r="F335" s="219">
        <f t="shared" si="11"/>
        <v>68.191497607859532</v>
      </c>
      <c r="G335" s="220">
        <v>579.25109999999995</v>
      </c>
      <c r="H335" s="77" t="s">
        <v>157</v>
      </c>
      <c r="I335" s="77" t="s">
        <v>800</v>
      </c>
      <c r="J335" s="218" t="s">
        <v>100</v>
      </c>
      <c r="K335" s="218" t="s">
        <v>209</v>
      </c>
      <c r="L335" s="218" t="s">
        <v>160</v>
      </c>
    </row>
    <row r="336" spans="1:12">
      <c r="A336" s="217">
        <v>45716</v>
      </c>
      <c r="B336" s="218" t="s">
        <v>799</v>
      </c>
      <c r="C336" s="218" t="s">
        <v>179</v>
      </c>
      <c r="D336" s="218" t="s">
        <v>120</v>
      </c>
      <c r="E336" s="218">
        <v>14000</v>
      </c>
      <c r="F336" s="219">
        <f t="shared" si="11"/>
        <v>24.169138392659075</v>
      </c>
      <c r="G336" s="220">
        <v>579.25109999999995</v>
      </c>
      <c r="H336" s="77" t="s">
        <v>207</v>
      </c>
      <c r="I336" s="77" t="s">
        <v>596</v>
      </c>
      <c r="J336" s="218" t="s">
        <v>100</v>
      </c>
      <c r="K336" s="218" t="s">
        <v>209</v>
      </c>
      <c r="L336" s="218" t="s">
        <v>160</v>
      </c>
    </row>
    <row r="337" spans="1:12">
      <c r="A337" s="217">
        <v>45716</v>
      </c>
      <c r="B337" s="218" t="s">
        <v>595</v>
      </c>
      <c r="C337" s="218" t="s">
        <v>179</v>
      </c>
      <c r="D337" s="218" t="s">
        <v>121</v>
      </c>
      <c r="E337" s="218">
        <v>35500</v>
      </c>
      <c r="F337" s="219">
        <f t="shared" si="11"/>
        <v>61.286029495671229</v>
      </c>
      <c r="G337" s="220">
        <v>579.25109999999995</v>
      </c>
      <c r="H337" s="77" t="s">
        <v>162</v>
      </c>
      <c r="I337" s="77" t="s">
        <v>803</v>
      </c>
      <c r="J337" s="218" t="s">
        <v>100</v>
      </c>
      <c r="K337" s="218" t="s">
        <v>209</v>
      </c>
      <c r="L337" s="218" t="s">
        <v>160</v>
      </c>
    </row>
    <row r="338" spans="1:12">
      <c r="A338" s="217">
        <v>45716</v>
      </c>
      <c r="B338" s="218" t="s">
        <v>802</v>
      </c>
      <c r="C338" s="218" t="s">
        <v>312</v>
      </c>
      <c r="D338" s="218" t="s">
        <v>121</v>
      </c>
      <c r="E338" s="218">
        <v>6000</v>
      </c>
      <c r="F338" s="219">
        <f t="shared" si="11"/>
        <v>10.35820216828246</v>
      </c>
      <c r="G338" s="220">
        <v>579.25109999999995</v>
      </c>
      <c r="H338" s="77" t="s">
        <v>162</v>
      </c>
      <c r="I338" s="77" t="s">
        <v>762</v>
      </c>
      <c r="J338" s="218" t="s">
        <v>100</v>
      </c>
      <c r="K338" s="218" t="s">
        <v>209</v>
      </c>
      <c r="L338" s="218" t="s">
        <v>160</v>
      </c>
    </row>
    <row r="339" spans="1:12">
      <c r="A339" s="217">
        <v>45716</v>
      </c>
      <c r="B339" s="218" t="s">
        <v>761</v>
      </c>
      <c r="C339" s="218" t="s">
        <v>768</v>
      </c>
      <c r="D339" s="218" t="s">
        <v>121</v>
      </c>
      <c r="E339" s="218">
        <v>45050</v>
      </c>
      <c r="F339" s="219">
        <f t="shared" si="11"/>
        <v>77.772834613520814</v>
      </c>
      <c r="G339" s="220">
        <v>579.25109999999995</v>
      </c>
      <c r="H339" s="77" t="s">
        <v>162</v>
      </c>
      <c r="I339" s="77" t="s">
        <v>769</v>
      </c>
      <c r="J339" s="218" t="s">
        <v>100</v>
      </c>
      <c r="K339" s="218" t="s">
        <v>209</v>
      </c>
      <c r="L339" s="218" t="s">
        <v>160</v>
      </c>
    </row>
    <row r="340" spans="1:12">
      <c r="A340" s="217">
        <v>45716</v>
      </c>
      <c r="B340" s="218" t="s">
        <v>767</v>
      </c>
      <c r="C340" s="218" t="s">
        <v>177</v>
      </c>
      <c r="D340" s="218" t="s">
        <v>121</v>
      </c>
      <c r="E340" s="218">
        <v>182000</v>
      </c>
      <c r="F340" s="219">
        <f t="shared" si="11"/>
        <v>314.19879910456797</v>
      </c>
      <c r="G340" s="220">
        <v>579.25109999999995</v>
      </c>
      <c r="H340" s="77" t="s">
        <v>162</v>
      </c>
      <c r="I340" s="77" t="s">
        <v>773</v>
      </c>
      <c r="J340" s="218" t="s">
        <v>100</v>
      </c>
      <c r="K340" s="218" t="s">
        <v>209</v>
      </c>
      <c r="L340" s="218" t="s">
        <v>160</v>
      </c>
    </row>
    <row r="341" spans="1:12">
      <c r="A341" s="217">
        <v>45716</v>
      </c>
      <c r="B341" s="218" t="s">
        <v>772</v>
      </c>
      <c r="C341" s="218" t="s">
        <v>130</v>
      </c>
      <c r="D341" s="218" t="s">
        <v>121</v>
      </c>
      <c r="E341" s="218">
        <v>10500</v>
      </c>
      <c r="F341" s="219">
        <f t="shared" si="11"/>
        <v>18.126853794494306</v>
      </c>
      <c r="G341" s="220">
        <v>579.25109999999995</v>
      </c>
      <c r="H341" s="77" t="s">
        <v>162</v>
      </c>
      <c r="I341" s="77" t="s">
        <v>775</v>
      </c>
      <c r="J341" s="218" t="s">
        <v>100</v>
      </c>
      <c r="K341" s="218" t="s">
        <v>209</v>
      </c>
      <c r="L341" s="218" t="s">
        <v>160</v>
      </c>
    </row>
    <row r="342" spans="1:12">
      <c r="A342" s="217">
        <v>45716</v>
      </c>
      <c r="B342" s="218" t="s">
        <v>774</v>
      </c>
      <c r="C342" s="218" t="s">
        <v>179</v>
      </c>
      <c r="D342" s="218" t="s">
        <v>121</v>
      </c>
      <c r="E342" s="218">
        <v>7000</v>
      </c>
      <c r="F342" s="219">
        <f t="shared" ref="F342:F373" si="12">E342/G342</f>
        <v>11.741164354495943</v>
      </c>
      <c r="G342" s="218">
        <v>596.19299999999998</v>
      </c>
      <c r="H342" s="77" t="s">
        <v>671</v>
      </c>
      <c r="I342" s="77" t="s">
        <v>808</v>
      </c>
      <c r="J342" s="218" t="s">
        <v>100</v>
      </c>
      <c r="K342" s="218" t="s">
        <v>159</v>
      </c>
      <c r="L342" s="218" t="s">
        <v>160</v>
      </c>
    </row>
    <row r="343" spans="1:12">
      <c r="A343" s="217">
        <v>45716</v>
      </c>
      <c r="B343" s="218" t="s">
        <v>765</v>
      </c>
      <c r="C343" s="218" t="s">
        <v>188</v>
      </c>
      <c r="D343" s="218" t="s">
        <v>121</v>
      </c>
      <c r="E343" s="218">
        <v>7020</v>
      </c>
      <c r="F343" s="219">
        <f t="shared" ref="F343:F361" si="13">E343/G343</f>
        <v>12.119096536890479</v>
      </c>
      <c r="G343" s="220">
        <v>579.25109999999995</v>
      </c>
      <c r="H343" s="222" t="s">
        <v>671</v>
      </c>
      <c r="I343" s="224" t="s">
        <v>766</v>
      </c>
      <c r="J343" s="218" t="s">
        <v>100</v>
      </c>
      <c r="K343" s="218" t="s">
        <v>209</v>
      </c>
      <c r="L343" s="218" t="s">
        <v>160</v>
      </c>
    </row>
    <row r="344" spans="1:12">
      <c r="A344" s="217">
        <v>45716</v>
      </c>
      <c r="B344" s="218" t="s">
        <v>770</v>
      </c>
      <c r="C344" s="218" t="s">
        <v>312</v>
      </c>
      <c r="D344" s="218" t="s">
        <v>121</v>
      </c>
      <c r="E344" s="218">
        <v>75625</v>
      </c>
      <c r="F344" s="219">
        <f t="shared" si="13"/>
        <v>130.55650649606019</v>
      </c>
      <c r="G344" s="220">
        <v>579.25109999999995</v>
      </c>
      <c r="H344" s="222" t="s">
        <v>671</v>
      </c>
      <c r="I344" s="224" t="s">
        <v>771</v>
      </c>
      <c r="J344" s="218" t="s">
        <v>100</v>
      </c>
      <c r="K344" s="218" t="s">
        <v>209</v>
      </c>
      <c r="L344" s="218" t="s">
        <v>160</v>
      </c>
    </row>
    <row r="345" spans="1:12" ht="15.5">
      <c r="A345" s="217">
        <v>45716</v>
      </c>
      <c r="B345" s="218" t="s">
        <v>1002</v>
      </c>
      <c r="C345" s="218" t="s">
        <v>179</v>
      </c>
      <c r="D345" s="218" t="s">
        <v>124</v>
      </c>
      <c r="E345" s="218">
        <v>6000</v>
      </c>
      <c r="F345" s="219">
        <f t="shared" si="13"/>
        <v>10.35820216828246</v>
      </c>
      <c r="G345" s="220">
        <v>579.25109999999995</v>
      </c>
      <c r="H345" s="250" t="s">
        <v>190</v>
      </c>
      <c r="I345" s="250" t="s">
        <v>835</v>
      </c>
      <c r="J345" s="218" t="s">
        <v>100</v>
      </c>
      <c r="K345" s="218" t="s">
        <v>209</v>
      </c>
      <c r="L345" s="218" t="s">
        <v>160</v>
      </c>
    </row>
    <row r="346" spans="1:12" ht="15.5">
      <c r="A346" s="217">
        <v>45716</v>
      </c>
      <c r="B346" s="218" t="s">
        <v>1007</v>
      </c>
      <c r="C346" s="218" t="s">
        <v>183</v>
      </c>
      <c r="D346" s="218" t="s">
        <v>124</v>
      </c>
      <c r="E346" s="218">
        <v>60000</v>
      </c>
      <c r="F346" s="219">
        <f t="shared" si="13"/>
        <v>103.5820216828246</v>
      </c>
      <c r="G346" s="220">
        <v>579.25109999999995</v>
      </c>
      <c r="H346" s="250" t="s">
        <v>190</v>
      </c>
      <c r="I346" s="250" t="s">
        <v>836</v>
      </c>
      <c r="J346" s="218" t="s">
        <v>100</v>
      </c>
      <c r="K346" s="218" t="s">
        <v>209</v>
      </c>
      <c r="L346" s="218" t="s">
        <v>160</v>
      </c>
    </row>
    <row r="347" spans="1:12" ht="15.5">
      <c r="A347" s="217">
        <v>45716</v>
      </c>
      <c r="B347" s="218" t="s">
        <v>837</v>
      </c>
      <c r="C347" s="218" t="s">
        <v>179</v>
      </c>
      <c r="D347" s="218" t="s">
        <v>124</v>
      </c>
      <c r="E347" s="218">
        <v>66800</v>
      </c>
      <c r="F347" s="219">
        <f t="shared" si="13"/>
        <v>115.32131747354472</v>
      </c>
      <c r="G347" s="220">
        <v>579.25109999999995</v>
      </c>
      <c r="H347" s="250" t="s">
        <v>190</v>
      </c>
      <c r="I347" s="250" t="s">
        <v>838</v>
      </c>
      <c r="J347" s="218" t="s">
        <v>100</v>
      </c>
      <c r="K347" s="218" t="s">
        <v>209</v>
      </c>
      <c r="L347" s="218" t="s">
        <v>160</v>
      </c>
    </row>
    <row r="348" spans="1:12">
      <c r="A348" s="217">
        <v>45716</v>
      </c>
      <c r="B348" s="218" t="s">
        <v>1011</v>
      </c>
      <c r="C348" s="218" t="s">
        <v>469</v>
      </c>
      <c r="D348" s="218" t="s">
        <v>124</v>
      </c>
      <c r="E348" s="218">
        <v>60000</v>
      </c>
      <c r="F348" s="219">
        <f t="shared" si="13"/>
        <v>103.5820216828246</v>
      </c>
      <c r="G348" s="220">
        <v>579.25109999999995</v>
      </c>
      <c r="H348" s="351" t="s">
        <v>181</v>
      </c>
      <c r="I348" s="77" t="s">
        <v>856</v>
      </c>
      <c r="J348" s="218" t="s">
        <v>100</v>
      </c>
      <c r="K348" s="218" t="s">
        <v>209</v>
      </c>
      <c r="L348" s="218" t="s">
        <v>160</v>
      </c>
    </row>
    <row r="349" spans="1:12">
      <c r="A349" s="217">
        <v>45716</v>
      </c>
      <c r="B349" s="218" t="s">
        <v>1013</v>
      </c>
      <c r="C349" s="218" t="s">
        <v>179</v>
      </c>
      <c r="D349" s="218" t="s">
        <v>124</v>
      </c>
      <c r="E349" s="218">
        <v>6000</v>
      </c>
      <c r="F349" s="219">
        <f t="shared" si="13"/>
        <v>10.35820216828246</v>
      </c>
      <c r="G349" s="220">
        <v>579.25109999999995</v>
      </c>
      <c r="H349" s="351" t="s">
        <v>181</v>
      </c>
      <c r="I349" s="77" t="s">
        <v>857</v>
      </c>
      <c r="J349" s="218" t="s">
        <v>100</v>
      </c>
      <c r="K349" s="218" t="s">
        <v>209</v>
      </c>
      <c r="L349" s="218" t="s">
        <v>160</v>
      </c>
    </row>
    <row r="350" spans="1:12">
      <c r="A350" s="217">
        <v>45716</v>
      </c>
      <c r="B350" s="218" t="s">
        <v>858</v>
      </c>
      <c r="C350" s="218" t="s">
        <v>179</v>
      </c>
      <c r="D350" s="218" t="s">
        <v>124</v>
      </c>
      <c r="E350" s="218">
        <v>53700</v>
      </c>
      <c r="F350" s="219">
        <f t="shared" si="13"/>
        <v>92.705909406128029</v>
      </c>
      <c r="G350" s="220">
        <v>579.25109999999995</v>
      </c>
      <c r="H350" s="351" t="s">
        <v>181</v>
      </c>
      <c r="I350" s="77" t="s">
        <v>859</v>
      </c>
      <c r="J350" s="218" t="s">
        <v>100</v>
      </c>
      <c r="K350" s="218" t="s">
        <v>209</v>
      </c>
      <c r="L350" s="218" t="s">
        <v>160</v>
      </c>
    </row>
    <row r="351" spans="1:12">
      <c r="A351" s="217">
        <v>45716</v>
      </c>
      <c r="B351" s="218" t="s">
        <v>995</v>
      </c>
      <c r="C351" s="218" t="s">
        <v>183</v>
      </c>
      <c r="D351" s="218" t="s">
        <v>124</v>
      </c>
      <c r="E351" s="218">
        <v>30000</v>
      </c>
      <c r="F351" s="219">
        <f t="shared" si="13"/>
        <v>51.791010841412302</v>
      </c>
      <c r="G351" s="220">
        <v>579.25109999999995</v>
      </c>
      <c r="H351" s="259" t="s">
        <v>327</v>
      </c>
      <c r="I351" s="77" t="s">
        <v>962</v>
      </c>
      <c r="J351" s="218" t="s">
        <v>100</v>
      </c>
      <c r="K351" s="218" t="s">
        <v>209</v>
      </c>
      <c r="L351" s="218" t="s">
        <v>160</v>
      </c>
    </row>
    <row r="352" spans="1:12">
      <c r="A352" s="217">
        <v>45716</v>
      </c>
      <c r="B352" s="218" t="s">
        <v>989</v>
      </c>
      <c r="C352" s="218" t="s">
        <v>179</v>
      </c>
      <c r="D352" s="218" t="s">
        <v>124</v>
      </c>
      <c r="E352" s="218">
        <v>7000</v>
      </c>
      <c r="F352" s="219">
        <f t="shared" si="13"/>
        <v>12.084569196329538</v>
      </c>
      <c r="G352" s="220">
        <v>579.25109999999995</v>
      </c>
      <c r="H352" s="259" t="s">
        <v>327</v>
      </c>
      <c r="I352" s="77" t="s">
        <v>963</v>
      </c>
      <c r="J352" s="218" t="s">
        <v>100</v>
      </c>
      <c r="K352" s="218" t="s">
        <v>209</v>
      </c>
      <c r="L352" s="218" t="s">
        <v>160</v>
      </c>
    </row>
    <row r="353" spans="1:12">
      <c r="A353" s="217">
        <v>45716</v>
      </c>
      <c r="B353" s="218" t="s">
        <v>964</v>
      </c>
      <c r="C353" s="218" t="s">
        <v>179</v>
      </c>
      <c r="D353" s="218" t="s">
        <v>124</v>
      </c>
      <c r="E353" s="218">
        <v>66500</v>
      </c>
      <c r="F353" s="219">
        <f t="shared" si="13"/>
        <v>114.80340736513061</v>
      </c>
      <c r="G353" s="220">
        <v>579.25109999999995</v>
      </c>
      <c r="H353" s="259" t="s">
        <v>327</v>
      </c>
      <c r="I353" s="77" t="s">
        <v>965</v>
      </c>
      <c r="J353" s="218" t="s">
        <v>100</v>
      </c>
      <c r="K353" s="218" t="s">
        <v>209</v>
      </c>
      <c r="L353" s="218" t="s">
        <v>160</v>
      </c>
    </row>
    <row r="354" spans="1:12">
      <c r="A354" s="217">
        <v>45716</v>
      </c>
      <c r="B354" s="218" t="s">
        <v>896</v>
      </c>
      <c r="C354" s="218" t="s">
        <v>319</v>
      </c>
      <c r="D354" s="218" t="s">
        <v>120</v>
      </c>
      <c r="E354" s="218">
        <v>24675</v>
      </c>
      <c r="F354" s="219">
        <f t="shared" si="13"/>
        <v>42.598106417061622</v>
      </c>
      <c r="G354" s="220">
        <v>579.25109999999995</v>
      </c>
      <c r="H354" s="77" t="s">
        <v>193</v>
      </c>
      <c r="I354" s="77" t="s">
        <v>897</v>
      </c>
      <c r="J354" s="218" t="s">
        <v>100</v>
      </c>
      <c r="K354" s="218" t="s">
        <v>209</v>
      </c>
      <c r="L354" s="218" t="s">
        <v>160</v>
      </c>
    </row>
    <row r="355" spans="1:12">
      <c r="A355" s="217">
        <v>45716</v>
      </c>
      <c r="B355" s="218" t="s">
        <v>898</v>
      </c>
      <c r="C355" s="218" t="s">
        <v>179</v>
      </c>
      <c r="D355" s="218" t="s">
        <v>120</v>
      </c>
      <c r="E355" s="218">
        <v>35500</v>
      </c>
      <c r="F355" s="219">
        <f t="shared" si="13"/>
        <v>61.286029495671229</v>
      </c>
      <c r="G355" s="220">
        <v>579.25109999999995</v>
      </c>
      <c r="H355" s="77" t="s">
        <v>193</v>
      </c>
      <c r="I355" s="77" t="s">
        <v>899</v>
      </c>
      <c r="J355" s="218" t="s">
        <v>100</v>
      </c>
      <c r="K355" s="218" t="s">
        <v>209</v>
      </c>
      <c r="L355" s="218" t="s">
        <v>160</v>
      </c>
    </row>
    <row r="356" spans="1:12">
      <c r="A356" s="217">
        <v>45716</v>
      </c>
      <c r="B356" s="218" t="s">
        <v>575</v>
      </c>
      <c r="C356" s="218" t="s">
        <v>297</v>
      </c>
      <c r="D356" s="218" t="s">
        <v>120</v>
      </c>
      <c r="E356" s="218">
        <v>18000</v>
      </c>
      <c r="F356" s="219">
        <f t="shared" si="13"/>
        <v>31.074606504847381</v>
      </c>
      <c r="G356" s="220">
        <v>579.25109999999995</v>
      </c>
      <c r="H356" s="77" t="s">
        <v>196</v>
      </c>
      <c r="I356" s="77" t="s">
        <v>576</v>
      </c>
      <c r="J356" s="218" t="s">
        <v>100</v>
      </c>
      <c r="K356" s="218" t="s">
        <v>209</v>
      </c>
      <c r="L356" s="218" t="s">
        <v>160</v>
      </c>
    </row>
    <row r="357" spans="1:12">
      <c r="A357" s="217">
        <v>45716</v>
      </c>
      <c r="B357" s="218" t="s">
        <v>966</v>
      </c>
      <c r="C357" s="218" t="s">
        <v>179</v>
      </c>
      <c r="D357" s="218" t="s">
        <v>120</v>
      </c>
      <c r="E357" s="218">
        <v>45000</v>
      </c>
      <c r="F357" s="219">
        <f t="shared" si="13"/>
        <v>77.68651626211846</v>
      </c>
      <c r="G357" s="220">
        <v>579.25109999999995</v>
      </c>
      <c r="H357" s="77" t="s">
        <v>196</v>
      </c>
      <c r="I357" s="77" t="s">
        <v>967</v>
      </c>
      <c r="J357" s="218" t="s">
        <v>100</v>
      </c>
      <c r="K357" s="218" t="s">
        <v>209</v>
      </c>
      <c r="L357" s="218" t="s">
        <v>160</v>
      </c>
    </row>
    <row r="358" spans="1:12">
      <c r="A358" s="217">
        <v>45716</v>
      </c>
      <c r="B358" s="218" t="s">
        <v>544</v>
      </c>
      <c r="C358" s="218" t="s">
        <v>183</v>
      </c>
      <c r="D358" s="218" t="s">
        <v>123</v>
      </c>
      <c r="E358" s="218">
        <v>45000</v>
      </c>
      <c r="F358" s="219">
        <f t="shared" si="13"/>
        <v>77.68651626211846</v>
      </c>
      <c r="G358" s="220">
        <v>579.25109999999995</v>
      </c>
      <c r="H358" s="77" t="s">
        <v>220</v>
      </c>
      <c r="I358" s="77" t="s">
        <v>545</v>
      </c>
      <c r="J358" s="218" t="s">
        <v>100</v>
      </c>
      <c r="K358" s="218" t="s">
        <v>209</v>
      </c>
      <c r="L358" s="218" t="s">
        <v>160</v>
      </c>
    </row>
    <row r="359" spans="1:12">
      <c r="A359" s="217">
        <v>45716</v>
      </c>
      <c r="B359" s="218" t="s">
        <v>282</v>
      </c>
      <c r="C359" s="218" t="s">
        <v>179</v>
      </c>
      <c r="D359" s="218" t="s">
        <v>123</v>
      </c>
      <c r="E359" s="218">
        <v>7000</v>
      </c>
      <c r="F359" s="219">
        <f t="shared" si="13"/>
        <v>12.084569196329538</v>
      </c>
      <c r="G359" s="220">
        <v>579.25109999999995</v>
      </c>
      <c r="H359" s="77" t="s">
        <v>220</v>
      </c>
      <c r="I359" s="77" t="s">
        <v>546</v>
      </c>
      <c r="J359" s="218" t="s">
        <v>100</v>
      </c>
      <c r="K359" s="218" t="s">
        <v>209</v>
      </c>
      <c r="L359" s="218" t="s">
        <v>160</v>
      </c>
    </row>
    <row r="360" spans="1:12">
      <c r="A360" s="217">
        <v>45716</v>
      </c>
      <c r="B360" s="218" t="s">
        <v>547</v>
      </c>
      <c r="C360" s="218" t="s">
        <v>179</v>
      </c>
      <c r="D360" s="218" t="s">
        <v>123</v>
      </c>
      <c r="E360" s="218">
        <v>33500</v>
      </c>
      <c r="F360" s="219">
        <f t="shared" si="13"/>
        <v>57.833295439577071</v>
      </c>
      <c r="G360" s="220">
        <v>579.25109999999995</v>
      </c>
      <c r="H360" s="77" t="s">
        <v>220</v>
      </c>
      <c r="I360" s="77" t="s">
        <v>548</v>
      </c>
      <c r="J360" s="218" t="s">
        <v>100</v>
      </c>
      <c r="K360" s="218" t="s">
        <v>209</v>
      </c>
      <c r="L360" s="218" t="s">
        <v>160</v>
      </c>
    </row>
    <row r="361" spans="1:12">
      <c r="A361" s="217">
        <v>45716</v>
      </c>
      <c r="B361" s="218" t="s">
        <v>553</v>
      </c>
      <c r="C361" s="218" t="s">
        <v>325</v>
      </c>
      <c r="D361" s="218" t="s">
        <v>123</v>
      </c>
      <c r="E361" s="218">
        <v>200000</v>
      </c>
      <c r="F361" s="219">
        <f t="shared" si="13"/>
        <v>345.27340560941536</v>
      </c>
      <c r="G361" s="220">
        <v>579.25109999999995</v>
      </c>
      <c r="H361" s="222" t="s">
        <v>220</v>
      </c>
      <c r="I361" s="222" t="s">
        <v>554</v>
      </c>
      <c r="J361" s="218" t="s">
        <v>100</v>
      </c>
      <c r="K361" s="218" t="s">
        <v>209</v>
      </c>
      <c r="L361" s="218" t="s">
        <v>160</v>
      </c>
    </row>
  </sheetData>
  <autoFilter ref="A1:O361">
    <sortState ref="A2:O342">
      <sortCondition ref="A1:A361"/>
    </sortState>
  </autoFilter>
  <dataValidations count="1">
    <dataValidation type="list" allowBlank="1" showInputMessage="1" showErrorMessage="1" sqref="C55:C60 C44:C53 C24:C39 C127:C130 C113:C114 C116:C125 C147:C148 C150:C160 C162:C165 C168:C171 C173:C178 C214 C232"/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'C:\Users\tiffa\OneDrive\Bureau\PALF IMPORTANT OK\Merveille Rapport financier\RAPPORT FINANCIER PALF\2025\Fevrier 2025\[Fichier comptable-Juriste Février Roderlin.xlsx]Feuil1'!#REF!</xm:f>
          </x14:formula1>
          <xm:sqref>C327:C330 C333</xm:sqref>
        </x14:dataValidation>
        <x14:dataValidation type="list" allowBlank="1" showInputMessage="1" showErrorMessage="1">
          <x14:formula1>
            <xm:f>'C:\Users\tiffa\OneDrive\Bureau\PALF IMPORTANT OK\Merveille Rapport financier\RAPPORT FINANCIER PALF\2025\Fevrier 2025\[Fichier comptable-Juriste Abraham Février 2025.xlsx]Feuil1'!#REF!</xm:f>
          </x14:formula1>
          <xm:sqref>C321:C326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activeCell="I3" sqref="I3"/>
    </sheetView>
  </sheetViews>
  <sheetFormatPr baseColWidth="10" defaultColWidth="8.75" defaultRowHeight="14"/>
  <cols>
    <col min="1" max="9" width="13.58203125" customWidth="1"/>
    <col min="10" max="10" width="14" style="333" customWidth="1"/>
    <col min="12" max="12" width="19.58203125" customWidth="1"/>
    <col min="13" max="13" width="22.08203125" customWidth="1"/>
    <col min="14" max="14" width="18.9140625" customWidth="1"/>
    <col min="15" max="15" width="24.08203125" customWidth="1"/>
    <col min="16" max="16" width="19.9140625" customWidth="1"/>
  </cols>
  <sheetData>
    <row r="1" spans="1:16" ht="26">
      <c r="A1" s="177" t="s">
        <v>450</v>
      </c>
      <c r="B1" s="178" t="s">
        <v>77</v>
      </c>
      <c r="C1" s="178" t="s">
        <v>78</v>
      </c>
      <c r="D1" s="178" t="s">
        <v>79</v>
      </c>
      <c r="E1" s="178" t="s">
        <v>80</v>
      </c>
      <c r="F1" s="178" t="s">
        <v>81</v>
      </c>
      <c r="G1" s="178" t="s">
        <v>82</v>
      </c>
      <c r="H1" s="178" t="s">
        <v>83</v>
      </c>
      <c r="I1" s="178" t="s">
        <v>75</v>
      </c>
      <c r="J1" s="332" t="s">
        <v>76</v>
      </c>
    </row>
    <row r="2" spans="1:16">
      <c r="A2" s="179" t="s">
        <v>452</v>
      </c>
      <c r="B2" s="180">
        <f>C2*J3</f>
        <v>-1211363.2972836664</v>
      </c>
      <c r="C2" s="181">
        <v>-2031.83</v>
      </c>
      <c r="D2" s="181">
        <f>SUM(D3:D14)</f>
        <v>17885797</v>
      </c>
      <c r="E2" s="181">
        <f>SUM(E3:E14)</f>
        <v>30000</v>
      </c>
      <c r="F2" s="181">
        <f>SUM(F3:F14)</f>
        <v>16673974</v>
      </c>
      <c r="G2" s="181">
        <f>SUM(G3:G14)</f>
        <v>28272.844502878699</v>
      </c>
      <c r="H2" s="181">
        <f>B2+D2-F2</f>
        <v>459.70271633379161</v>
      </c>
      <c r="I2" s="181">
        <f>C2+E2-G2</f>
        <v>-304.67450287870088</v>
      </c>
      <c r="L2" s="292" t="s">
        <v>486</v>
      </c>
      <c r="M2" t="s">
        <v>489</v>
      </c>
      <c r="N2" t="s">
        <v>495</v>
      </c>
      <c r="O2" t="s">
        <v>496</v>
      </c>
      <c r="P2" t="s">
        <v>497</v>
      </c>
    </row>
    <row r="3" spans="1:16">
      <c r="A3" s="191" t="s">
        <v>84</v>
      </c>
      <c r="B3" s="187"/>
      <c r="C3" s="188"/>
      <c r="D3" s="188">
        <f>+GETPIVOTDATA("Somme de Receved in XAF",$L$2,"Date",1,"Donor","Wildcat")</f>
        <v>17885797</v>
      </c>
      <c r="E3" s="187">
        <f>+GETPIVOTDATA("Somme de Receved  $",$L$2,"Date",1,"Donor","Wildcat")</f>
        <v>30000</v>
      </c>
      <c r="F3" s="189">
        <f>+GETPIVOTDATA("Somme de Spent  in XAF",$L$2,"Date",1,"Donor","Wildcat")</f>
        <v>12832742</v>
      </c>
      <c r="G3" s="187">
        <f>+GETPIVOTDATA("Somme de Spent in $",$L$2,"Date",1,"Donor","Wildcat")</f>
        <v>21829.91075491453</v>
      </c>
      <c r="H3" s="190">
        <f>B2+D3-F3</f>
        <v>3841691.7027163338</v>
      </c>
      <c r="I3" s="190">
        <f>C2+E3-G3</f>
        <v>6138.2592450854681</v>
      </c>
      <c r="J3" s="333">
        <f>+D3/E3</f>
        <v>596.1932333333333</v>
      </c>
      <c r="L3" s="293" t="s">
        <v>209</v>
      </c>
      <c r="M3" s="384">
        <v>1526722</v>
      </c>
      <c r="N3" s="384">
        <v>2635.6825217940896</v>
      </c>
      <c r="O3" s="384"/>
      <c r="P3" s="384"/>
    </row>
    <row r="4" spans="1:16">
      <c r="A4" s="191" t="s">
        <v>85</v>
      </c>
      <c r="B4" s="187"/>
      <c r="C4" s="188"/>
      <c r="D4" s="188">
        <f>+GETPIVOTDATA("Somme de Receved in XAF",$L$2,"Date",2,"Donor","Wildcat")</f>
        <v>0</v>
      </c>
      <c r="E4" s="187">
        <f>+GETPIVOTDATA("Somme de Receved  $",$L$2,"Date",2,"Donor","Wildcat")</f>
        <v>0</v>
      </c>
      <c r="F4" s="189">
        <f>+GETPIVOTDATA("Somme de Spent  in XAF",$L$2,"Date",2,"Donor","Wildcat")</f>
        <v>3841232</v>
      </c>
      <c r="G4" s="187">
        <f>+GETPIVOTDATA("Somme de Spent in $",$L$2,"Date",2,"Donor","Wildcat")</f>
        <v>6442.9337479641699</v>
      </c>
      <c r="H4" s="190">
        <f>H3+D4-F4</f>
        <v>459.70271633379161</v>
      </c>
      <c r="I4" s="190">
        <f>I3+E4-G4</f>
        <v>-304.67450287870179</v>
      </c>
      <c r="L4" s="386" t="s">
        <v>979</v>
      </c>
      <c r="M4" s="384">
        <v>1526722</v>
      </c>
      <c r="N4" s="384">
        <v>2635.6825217940896</v>
      </c>
      <c r="O4" s="384"/>
      <c r="P4" s="384"/>
    </row>
    <row r="5" spans="1:16">
      <c r="A5" s="192" t="s">
        <v>86</v>
      </c>
      <c r="B5" s="184"/>
      <c r="C5" s="184"/>
      <c r="D5" s="184"/>
      <c r="E5" s="184"/>
      <c r="F5" s="185"/>
      <c r="G5" s="184"/>
      <c r="H5" s="190">
        <f t="shared" ref="H5:H14" si="0">H4+D5-F5</f>
        <v>459.70271633379161</v>
      </c>
      <c r="I5" s="190">
        <f t="shared" ref="I5:I14" si="1">I4+E5-G5</f>
        <v>-304.67450287870179</v>
      </c>
      <c r="L5" s="293" t="s">
        <v>451</v>
      </c>
      <c r="M5" s="384">
        <v>3068955</v>
      </c>
      <c r="N5" s="384">
        <v>4999.7491128532729</v>
      </c>
      <c r="O5" s="384"/>
      <c r="P5" s="384"/>
    </row>
    <row r="6" spans="1:16">
      <c r="A6" s="191" t="s">
        <v>87</v>
      </c>
      <c r="B6" s="184"/>
      <c r="C6" s="184"/>
      <c r="D6" s="184"/>
      <c r="E6" s="184"/>
      <c r="F6" s="185"/>
      <c r="G6" s="184"/>
      <c r="H6" s="190">
        <f t="shared" si="0"/>
        <v>459.70271633379161</v>
      </c>
      <c r="I6" s="190">
        <f t="shared" si="1"/>
        <v>-304.67450287870179</v>
      </c>
      <c r="L6" s="386" t="s">
        <v>979</v>
      </c>
      <c r="M6" s="384">
        <v>3068955</v>
      </c>
      <c r="N6" s="384">
        <v>4999.7491128532729</v>
      </c>
      <c r="O6" s="384"/>
      <c r="P6" s="384"/>
    </row>
    <row r="7" spans="1:16">
      <c r="A7" s="192" t="s">
        <v>88</v>
      </c>
      <c r="B7" s="184"/>
      <c r="C7" s="184"/>
      <c r="D7" s="184"/>
      <c r="E7" s="184"/>
      <c r="F7" s="185"/>
      <c r="G7" s="184"/>
      <c r="H7" s="190">
        <f t="shared" si="0"/>
        <v>459.70271633379161</v>
      </c>
      <c r="I7" s="190">
        <f t="shared" si="1"/>
        <v>-304.67450287870179</v>
      </c>
      <c r="L7" s="293" t="s">
        <v>159</v>
      </c>
      <c r="M7" s="384">
        <v>16673974</v>
      </c>
      <c r="N7" s="384">
        <v>28272.844502878699</v>
      </c>
      <c r="O7" s="384">
        <v>17885797</v>
      </c>
      <c r="P7" s="384">
        <v>30000</v>
      </c>
    </row>
    <row r="8" spans="1:16">
      <c r="A8" s="183" t="s">
        <v>89</v>
      </c>
      <c r="B8" s="184"/>
      <c r="C8" s="184"/>
      <c r="D8" s="184"/>
      <c r="E8" s="184"/>
      <c r="F8" s="185"/>
      <c r="G8" s="184"/>
      <c r="H8" s="190">
        <f t="shared" si="0"/>
        <v>459.70271633379161</v>
      </c>
      <c r="I8" s="190">
        <f t="shared" si="1"/>
        <v>-304.67450287870179</v>
      </c>
      <c r="L8" s="386" t="s">
        <v>980</v>
      </c>
      <c r="M8" s="384">
        <v>12832742</v>
      </c>
      <c r="N8" s="384">
        <v>21829.91075491453</v>
      </c>
      <c r="O8" s="384">
        <v>17885797</v>
      </c>
      <c r="P8" s="384">
        <v>30000</v>
      </c>
    </row>
    <row r="9" spans="1:16">
      <c r="A9" s="183" t="s">
        <v>90</v>
      </c>
      <c r="B9" s="184"/>
      <c r="C9" s="184"/>
      <c r="D9" s="184"/>
      <c r="E9" s="184"/>
      <c r="F9" s="185"/>
      <c r="G9" s="184"/>
      <c r="H9" s="190">
        <f t="shared" si="0"/>
        <v>459.70271633379161</v>
      </c>
      <c r="I9" s="190">
        <f t="shared" si="1"/>
        <v>-304.67450287870179</v>
      </c>
      <c r="L9" s="386" t="s">
        <v>979</v>
      </c>
      <c r="M9" s="384">
        <v>3841232</v>
      </c>
      <c r="N9" s="384">
        <v>6442.9337479641699</v>
      </c>
      <c r="O9" s="384"/>
      <c r="P9" s="384"/>
    </row>
    <row r="10" spans="1:16">
      <c r="A10" s="183" t="s">
        <v>91</v>
      </c>
      <c r="B10" s="184"/>
      <c r="C10" s="184"/>
      <c r="D10" s="184"/>
      <c r="E10" s="184"/>
      <c r="F10" s="185"/>
      <c r="G10" s="184"/>
      <c r="H10" s="190">
        <f t="shared" si="0"/>
        <v>459.70271633379161</v>
      </c>
      <c r="I10" s="190">
        <f t="shared" si="1"/>
        <v>-304.67450287870179</v>
      </c>
      <c r="L10" s="293" t="s">
        <v>487</v>
      </c>
      <c r="M10" s="384">
        <v>21269651</v>
      </c>
      <c r="N10" s="384">
        <v>35908.27613752606</v>
      </c>
      <c r="O10" s="384">
        <v>17885797</v>
      </c>
      <c r="P10" s="384">
        <v>30000</v>
      </c>
    </row>
    <row r="11" spans="1:16">
      <c r="A11" s="186" t="s">
        <v>92</v>
      </c>
      <c r="B11" s="184"/>
      <c r="C11" s="184"/>
      <c r="D11" s="184"/>
      <c r="E11" s="184"/>
      <c r="F11" s="185"/>
      <c r="G11" s="184"/>
      <c r="H11" s="190">
        <f t="shared" si="0"/>
        <v>459.70271633379161</v>
      </c>
      <c r="I11" s="190">
        <f t="shared" si="1"/>
        <v>-304.67450287870179</v>
      </c>
    </row>
    <row r="12" spans="1:16">
      <c r="A12" s="183" t="s">
        <v>93</v>
      </c>
      <c r="B12" s="184"/>
      <c r="C12" s="184"/>
      <c r="D12" s="184"/>
      <c r="E12" s="184"/>
      <c r="F12" s="185"/>
      <c r="G12" s="184"/>
      <c r="H12" s="190">
        <f t="shared" si="0"/>
        <v>459.70271633379161</v>
      </c>
      <c r="I12" s="190">
        <f t="shared" si="1"/>
        <v>-304.67450287870179</v>
      </c>
    </row>
    <row r="13" spans="1:16">
      <c r="A13" s="183" t="s">
        <v>94</v>
      </c>
      <c r="B13" s="184"/>
      <c r="C13" s="184"/>
      <c r="D13" s="184"/>
      <c r="E13" s="184"/>
      <c r="F13" s="185"/>
      <c r="G13" s="184"/>
      <c r="H13" s="190">
        <f t="shared" si="0"/>
        <v>459.70271633379161</v>
      </c>
      <c r="I13" s="190">
        <f t="shared" si="1"/>
        <v>-304.67450287870179</v>
      </c>
    </row>
    <row r="14" spans="1:16">
      <c r="A14" s="183" t="s">
        <v>95</v>
      </c>
      <c r="B14" s="184"/>
      <c r="C14" s="184"/>
      <c r="D14" s="184"/>
      <c r="E14" s="184"/>
      <c r="F14" s="185"/>
      <c r="G14" s="184"/>
      <c r="H14" s="190">
        <f t="shared" si="0"/>
        <v>459.70271633379161</v>
      </c>
      <c r="I14" s="190">
        <f t="shared" si="1"/>
        <v>-304.67450287870179</v>
      </c>
    </row>
    <row r="15" spans="1:16">
      <c r="A15" s="226" t="s">
        <v>451</v>
      </c>
      <c r="B15" s="180">
        <f>+J15*C15</f>
        <v>3069109.0909090913</v>
      </c>
      <c r="C15" s="181">
        <v>5000</v>
      </c>
      <c r="D15" s="181">
        <f>SUM(D16:D27)</f>
        <v>0</v>
      </c>
      <c r="E15" s="181">
        <f t="shared" ref="E15:G15" si="2">SUM(E16:E27)</f>
        <v>0</v>
      </c>
      <c r="F15" s="181">
        <f t="shared" si="2"/>
        <v>3068955</v>
      </c>
      <c r="G15" s="181">
        <f t="shared" si="2"/>
        <v>4999.7491128532729</v>
      </c>
      <c r="H15" s="181">
        <f>B15+D15-F15</f>
        <v>154.09090909129009</v>
      </c>
      <c r="I15" s="181">
        <f>C15+E15-G15</f>
        <v>0.25088714672710921</v>
      </c>
      <c r="J15" s="333">
        <f>844005/1375</f>
        <v>613.82181818181823</v>
      </c>
    </row>
    <row r="16" spans="1:16">
      <c r="A16" s="191" t="s">
        <v>84</v>
      </c>
      <c r="B16" s="187"/>
      <c r="C16" s="188"/>
      <c r="D16" s="188"/>
      <c r="E16" s="187"/>
      <c r="F16" s="189">
        <v>0</v>
      </c>
      <c r="G16" s="187">
        <v>0</v>
      </c>
      <c r="H16" s="190">
        <f>B15+D16-F16</f>
        <v>3069109.0909090913</v>
      </c>
      <c r="I16" s="190">
        <f>C15+E16-G16</f>
        <v>5000</v>
      </c>
    </row>
    <row r="17" spans="1:10">
      <c r="A17" s="191" t="s">
        <v>85</v>
      </c>
      <c r="B17" s="187"/>
      <c r="C17" s="188"/>
      <c r="D17" s="188"/>
      <c r="E17" s="187"/>
      <c r="F17" s="189">
        <f>+GETPIVOTDATA("Somme de Spent  in XAF",$L$2,"Date",2,"Donor","Rufford")</f>
        <v>3068955</v>
      </c>
      <c r="G17" s="187">
        <f>+GETPIVOTDATA("Somme de Spent in $",$L$2,"Date",2,"Donor","Rufford")</f>
        <v>4999.7491128532729</v>
      </c>
      <c r="H17" s="190">
        <f>H16+D17-F17</f>
        <v>154.09090909129009</v>
      </c>
      <c r="I17" s="190">
        <f>I16+E17-G17</f>
        <v>0.25088714672710921</v>
      </c>
    </row>
    <row r="18" spans="1:10">
      <c r="A18" s="192" t="s">
        <v>86</v>
      </c>
      <c r="B18" s="184"/>
      <c r="C18" s="184"/>
      <c r="D18" s="184"/>
      <c r="E18" s="184"/>
      <c r="F18" s="185"/>
      <c r="G18" s="184"/>
      <c r="H18" s="190">
        <f t="shared" ref="H18:H27" si="3">H17+D18-F18</f>
        <v>154.09090909129009</v>
      </c>
      <c r="I18" s="190">
        <f t="shared" ref="I18:I27" si="4">I17+E18-G18</f>
        <v>0.25088714672710921</v>
      </c>
    </row>
    <row r="19" spans="1:10">
      <c r="A19" s="191" t="s">
        <v>87</v>
      </c>
      <c r="B19" s="184"/>
      <c r="C19" s="184"/>
      <c r="D19" s="184"/>
      <c r="E19" s="184"/>
      <c r="F19" s="185"/>
      <c r="G19" s="184"/>
      <c r="H19" s="190">
        <f t="shared" si="3"/>
        <v>154.09090909129009</v>
      </c>
      <c r="I19" s="190">
        <f t="shared" si="4"/>
        <v>0.25088714672710921</v>
      </c>
    </row>
    <row r="20" spans="1:10">
      <c r="A20" s="192" t="s">
        <v>88</v>
      </c>
      <c r="B20" s="184"/>
      <c r="C20" s="184"/>
      <c r="D20" s="184"/>
      <c r="E20" s="184"/>
      <c r="F20" s="185"/>
      <c r="G20" s="184"/>
      <c r="H20" s="190">
        <f t="shared" si="3"/>
        <v>154.09090909129009</v>
      </c>
      <c r="I20" s="190">
        <f t="shared" si="4"/>
        <v>0.25088714672710921</v>
      </c>
    </row>
    <row r="21" spans="1:10">
      <c r="A21" s="192" t="s">
        <v>89</v>
      </c>
      <c r="B21" s="184"/>
      <c r="C21" s="184"/>
      <c r="D21" s="184"/>
      <c r="E21" s="184"/>
      <c r="F21" s="185"/>
      <c r="G21" s="184"/>
      <c r="H21" s="190">
        <f t="shared" si="3"/>
        <v>154.09090909129009</v>
      </c>
      <c r="I21" s="190">
        <f t="shared" si="4"/>
        <v>0.25088714672710921</v>
      </c>
    </row>
    <row r="22" spans="1:10">
      <c r="A22" s="183" t="s">
        <v>90</v>
      </c>
      <c r="B22" s="184"/>
      <c r="C22" s="184"/>
      <c r="D22" s="184"/>
      <c r="E22" s="184"/>
      <c r="F22" s="185"/>
      <c r="G22" s="184"/>
      <c r="H22" s="190">
        <f t="shared" si="3"/>
        <v>154.09090909129009</v>
      </c>
      <c r="I22" s="190">
        <f t="shared" si="4"/>
        <v>0.25088714672710921</v>
      </c>
    </row>
    <row r="23" spans="1:10">
      <c r="A23" s="183" t="s">
        <v>91</v>
      </c>
      <c r="B23" s="184"/>
      <c r="C23" s="184"/>
      <c r="D23" s="184"/>
      <c r="E23" s="184"/>
      <c r="F23" s="185"/>
      <c r="G23" s="184"/>
      <c r="H23" s="190">
        <f t="shared" si="3"/>
        <v>154.09090909129009</v>
      </c>
      <c r="I23" s="190">
        <f t="shared" si="4"/>
        <v>0.25088714672710921</v>
      </c>
    </row>
    <row r="24" spans="1:10">
      <c r="A24" s="186" t="s">
        <v>92</v>
      </c>
      <c r="B24" s="184"/>
      <c r="C24" s="184"/>
      <c r="D24" s="184"/>
      <c r="E24" s="184"/>
      <c r="F24" s="185"/>
      <c r="G24" s="184"/>
      <c r="H24" s="190">
        <f t="shared" si="3"/>
        <v>154.09090909129009</v>
      </c>
      <c r="I24" s="190">
        <f t="shared" si="4"/>
        <v>0.25088714672710921</v>
      </c>
    </row>
    <row r="25" spans="1:10">
      <c r="A25" s="183" t="s">
        <v>93</v>
      </c>
      <c r="B25" s="184"/>
      <c r="C25" s="184"/>
      <c r="D25" s="184"/>
      <c r="E25" s="184"/>
      <c r="F25" s="185"/>
      <c r="G25" s="184"/>
      <c r="H25" s="190">
        <f t="shared" si="3"/>
        <v>154.09090909129009</v>
      </c>
      <c r="I25" s="190">
        <f t="shared" si="4"/>
        <v>0.25088714672710921</v>
      </c>
    </row>
    <row r="26" spans="1:10">
      <c r="A26" s="183" t="s">
        <v>94</v>
      </c>
      <c r="B26" s="184"/>
      <c r="C26" s="184"/>
      <c r="D26" s="184"/>
      <c r="E26" s="184"/>
      <c r="F26" s="185"/>
      <c r="G26" s="184"/>
      <c r="H26" s="190">
        <f t="shared" si="3"/>
        <v>154.09090909129009</v>
      </c>
      <c r="I26" s="190">
        <f t="shared" si="4"/>
        <v>0.25088714672710921</v>
      </c>
    </row>
    <row r="27" spans="1:10">
      <c r="A27" s="183" t="s">
        <v>95</v>
      </c>
      <c r="B27" s="184"/>
      <c r="C27" s="184"/>
      <c r="D27" s="184"/>
      <c r="E27" s="184"/>
      <c r="F27" s="185"/>
      <c r="G27" s="184"/>
      <c r="H27" s="190">
        <f t="shared" si="3"/>
        <v>154.09090909129009</v>
      </c>
      <c r="I27" s="190">
        <f t="shared" si="4"/>
        <v>0.25088714672710921</v>
      </c>
    </row>
    <row r="28" spans="1:10">
      <c r="A28" s="179" t="s">
        <v>209</v>
      </c>
      <c r="B28" s="180">
        <f>C28*J28</f>
        <v>13324442.904550143</v>
      </c>
      <c r="C28" s="181">
        <v>23002.880000000001</v>
      </c>
      <c r="D28" s="181">
        <f>SUM(D29:D40)</f>
        <v>0</v>
      </c>
      <c r="E28" s="181">
        <f t="shared" ref="E28:G28" si="5">SUM(E29:E40)</f>
        <v>0</v>
      </c>
      <c r="F28" s="181">
        <f t="shared" si="5"/>
        <v>1526722</v>
      </c>
      <c r="G28" s="181">
        <f t="shared" si="5"/>
        <v>2635.6825217940896</v>
      </c>
      <c r="H28" s="181">
        <f>B28+D28-F28</f>
        <v>11797720.904550143</v>
      </c>
      <c r="I28" s="181">
        <f>C28+E28-G28</f>
        <v>20367.197478205911</v>
      </c>
      <c r="J28" s="333">
        <f>12020039/20751</f>
        <v>579.2510722374825</v>
      </c>
    </row>
    <row r="29" spans="1:10">
      <c r="A29" s="191" t="s">
        <v>84</v>
      </c>
      <c r="B29" s="187"/>
      <c r="C29" s="188"/>
      <c r="D29" s="188"/>
      <c r="E29" s="187"/>
      <c r="F29" s="189"/>
      <c r="G29" s="187"/>
      <c r="H29" s="190">
        <f>B28+D29-F29</f>
        <v>13324442.904550143</v>
      </c>
      <c r="I29" s="190">
        <f>C28+E29-G29</f>
        <v>23002.880000000001</v>
      </c>
    </row>
    <row r="30" spans="1:10">
      <c r="A30" s="191" t="s">
        <v>85</v>
      </c>
      <c r="B30" s="187"/>
      <c r="C30" s="188"/>
      <c r="D30" s="188"/>
      <c r="E30" s="187"/>
      <c r="F30" s="189">
        <f>+GETPIVOTDATA("Somme de Spent  in XAF",$L$2,"Date",2,"Donor","OAK")</f>
        <v>1526722</v>
      </c>
      <c r="G30" s="187">
        <f>+GETPIVOTDATA("Somme de Spent in $",$L$2,"Date",2,"Donor","OAK")</f>
        <v>2635.6825217940896</v>
      </c>
      <c r="H30" s="190">
        <f>H29+D30-F30</f>
        <v>11797720.904550143</v>
      </c>
      <c r="I30" s="190">
        <f>I29+E30-G30</f>
        <v>20367.197478205911</v>
      </c>
    </row>
    <row r="31" spans="1:10">
      <c r="A31" s="192" t="s">
        <v>86</v>
      </c>
      <c r="B31" s="184"/>
      <c r="C31" s="184"/>
      <c r="D31" s="184"/>
      <c r="E31" s="184"/>
      <c r="F31" s="185"/>
      <c r="G31" s="184"/>
      <c r="H31" s="190">
        <f t="shared" ref="H31:H40" si="6">H30+D31-F31</f>
        <v>11797720.904550143</v>
      </c>
      <c r="I31" s="190">
        <f t="shared" ref="I31:I40" si="7">I30+E31-G31</f>
        <v>20367.197478205911</v>
      </c>
    </row>
    <row r="32" spans="1:10">
      <c r="A32" s="191" t="s">
        <v>87</v>
      </c>
      <c r="B32" s="184"/>
      <c r="C32" s="184"/>
      <c r="D32" s="184"/>
      <c r="E32" s="184"/>
      <c r="F32" s="185"/>
      <c r="G32" s="184"/>
      <c r="H32" s="190">
        <f t="shared" si="6"/>
        <v>11797720.904550143</v>
      </c>
      <c r="I32" s="190">
        <f t="shared" si="7"/>
        <v>20367.197478205911</v>
      </c>
    </row>
    <row r="33" spans="1:10">
      <c r="A33" s="192" t="s">
        <v>88</v>
      </c>
      <c r="B33" s="184"/>
      <c r="C33" s="184"/>
      <c r="D33" s="184"/>
      <c r="E33" s="184"/>
      <c r="F33" s="185"/>
      <c r="G33" s="184"/>
      <c r="H33" s="190">
        <f t="shared" si="6"/>
        <v>11797720.904550143</v>
      </c>
      <c r="I33" s="190">
        <f t="shared" si="7"/>
        <v>20367.197478205911</v>
      </c>
    </row>
    <row r="34" spans="1:10">
      <c r="A34" s="183" t="s">
        <v>89</v>
      </c>
      <c r="B34" s="184"/>
      <c r="C34" s="184"/>
      <c r="D34" s="184"/>
      <c r="E34" s="184"/>
      <c r="F34" s="185"/>
      <c r="G34" s="184"/>
      <c r="H34" s="190">
        <f t="shared" si="6"/>
        <v>11797720.904550143</v>
      </c>
      <c r="I34" s="190">
        <f t="shared" si="7"/>
        <v>20367.197478205911</v>
      </c>
    </row>
    <row r="35" spans="1:10">
      <c r="A35" s="183" t="s">
        <v>90</v>
      </c>
      <c r="B35" s="184"/>
      <c r="C35" s="184"/>
      <c r="D35" s="184"/>
      <c r="E35" s="184"/>
      <c r="F35" s="185"/>
      <c r="G35" s="184"/>
      <c r="H35" s="190">
        <f t="shared" si="6"/>
        <v>11797720.904550143</v>
      </c>
      <c r="I35" s="190">
        <f t="shared" si="7"/>
        <v>20367.197478205911</v>
      </c>
    </row>
    <row r="36" spans="1:10">
      <c r="A36" s="183" t="s">
        <v>91</v>
      </c>
      <c r="B36" s="184"/>
      <c r="C36" s="184"/>
      <c r="D36" s="184"/>
      <c r="E36" s="184"/>
      <c r="F36" s="185"/>
      <c r="G36" s="184"/>
      <c r="H36" s="190">
        <f t="shared" si="6"/>
        <v>11797720.904550143</v>
      </c>
      <c r="I36" s="190">
        <f t="shared" si="7"/>
        <v>20367.197478205911</v>
      </c>
    </row>
    <row r="37" spans="1:10">
      <c r="A37" s="186" t="s">
        <v>92</v>
      </c>
      <c r="B37" s="184"/>
      <c r="C37" s="184"/>
      <c r="D37" s="184"/>
      <c r="E37" s="184"/>
      <c r="F37" s="185"/>
      <c r="G37" s="184"/>
      <c r="H37" s="190">
        <f t="shared" si="6"/>
        <v>11797720.904550143</v>
      </c>
      <c r="I37" s="190">
        <f t="shared" si="7"/>
        <v>20367.197478205911</v>
      </c>
    </row>
    <row r="38" spans="1:10">
      <c r="A38" s="183" t="s">
        <v>93</v>
      </c>
      <c r="B38" s="184"/>
      <c r="C38" s="184"/>
      <c r="D38" s="184"/>
      <c r="E38" s="184"/>
      <c r="F38" s="185"/>
      <c r="G38" s="184"/>
      <c r="H38" s="190">
        <f t="shared" si="6"/>
        <v>11797720.904550143</v>
      </c>
      <c r="I38" s="190">
        <f t="shared" si="7"/>
        <v>20367.197478205911</v>
      </c>
    </row>
    <row r="39" spans="1:10">
      <c r="A39" s="183" t="s">
        <v>94</v>
      </c>
      <c r="B39" s="184"/>
      <c r="C39" s="184"/>
      <c r="D39" s="184"/>
      <c r="E39" s="184"/>
      <c r="F39" s="185"/>
      <c r="G39" s="184"/>
      <c r="H39" s="190">
        <f t="shared" si="6"/>
        <v>11797720.904550143</v>
      </c>
      <c r="I39" s="190">
        <f t="shared" si="7"/>
        <v>20367.197478205911</v>
      </c>
    </row>
    <row r="40" spans="1:10">
      <c r="A40" s="193" t="s">
        <v>95</v>
      </c>
      <c r="B40" s="194"/>
      <c r="C40" s="194"/>
      <c r="D40" s="194"/>
      <c r="E40" s="194"/>
      <c r="F40" s="195"/>
      <c r="G40" s="194"/>
      <c r="H40" s="190">
        <f t="shared" si="6"/>
        <v>11797720.904550143</v>
      </c>
      <c r="I40" s="190">
        <f t="shared" si="7"/>
        <v>20367.197478205911</v>
      </c>
    </row>
    <row r="41" spans="1:10" ht="14.5" thickBot="1">
      <c r="A41" s="179" t="s">
        <v>498</v>
      </c>
      <c r="B41" s="180">
        <v>-3843275.7</v>
      </c>
      <c r="C41" s="180">
        <f>B41/J41</f>
        <v>-6470.1611111111115</v>
      </c>
      <c r="D41" s="180"/>
      <c r="E41" s="181"/>
      <c r="F41" s="180"/>
      <c r="G41" s="182"/>
      <c r="H41" s="180">
        <f>+B41</f>
        <v>-3843275.7</v>
      </c>
      <c r="I41" s="181">
        <f>+C41</f>
        <v>-6470.1611111111115</v>
      </c>
      <c r="J41" s="333">
        <v>594</v>
      </c>
    </row>
    <row r="42" spans="1:10" ht="14.5" thickBot="1">
      <c r="A42" s="196" t="s">
        <v>96</v>
      </c>
      <c r="B42" s="180">
        <f>B41+B28+B15+B2</f>
        <v>11338912.998175569</v>
      </c>
      <c r="C42" s="180">
        <f t="shared" ref="C42:I42" si="8">C41+C28+C15+C2</f>
        <v>19500.888888888891</v>
      </c>
      <c r="D42" s="180">
        <f t="shared" si="8"/>
        <v>17885797</v>
      </c>
      <c r="E42" s="180">
        <f t="shared" si="8"/>
        <v>30000</v>
      </c>
      <c r="F42" s="180">
        <f t="shared" si="8"/>
        <v>21269651</v>
      </c>
      <c r="G42" s="180">
        <f t="shared" si="8"/>
        <v>35908.27613752606</v>
      </c>
      <c r="H42" s="180">
        <f t="shared" si="8"/>
        <v>7955058.998175567</v>
      </c>
      <c r="I42" s="180">
        <f t="shared" si="8"/>
        <v>13592.612751362825</v>
      </c>
    </row>
    <row r="44" spans="1:10">
      <c r="A44" s="311"/>
      <c r="B44" s="311">
        <v>11338913</v>
      </c>
      <c r="C44" s="311"/>
      <c r="D44" s="311"/>
      <c r="F44" t="s">
        <v>97</v>
      </c>
      <c r="H44" s="295">
        <f>Balance!I29</f>
        <v>7955059</v>
      </c>
    </row>
    <row r="45" spans="1:10">
      <c r="A45" s="311"/>
      <c r="B45" s="311">
        <f>B42-B44</f>
        <v>-1.8244311213493347E-3</v>
      </c>
      <c r="C45" s="311"/>
      <c r="D45" s="311"/>
      <c r="F45" t="s">
        <v>52</v>
      </c>
      <c r="H45" s="311">
        <f>H42-H44</f>
        <v>-1.8244329839944839E-3</v>
      </c>
    </row>
    <row r="46" spans="1:10">
      <c r="B46" s="295"/>
    </row>
    <row r="47" spans="1:10">
      <c r="B47" s="320"/>
    </row>
    <row r="48" spans="1:10">
      <c r="B48" s="320"/>
    </row>
  </sheetData>
  <pageMargins left="0.7" right="0.7" top="0.78740157499999996" bottom="0.78740157499999996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tabSelected="1" workbookViewId="0">
      <pane ySplit="1" topLeftCell="A2" activePane="bottomLeft" state="frozen"/>
      <selection pane="bottomLeft" activeCell="A2" sqref="A2:B181"/>
    </sheetView>
  </sheetViews>
  <sheetFormatPr baseColWidth="10" defaultColWidth="8.75" defaultRowHeight="14"/>
  <cols>
    <col min="1" max="1" width="12.75" style="70" customWidth="1"/>
    <col min="2" max="2" width="82" customWidth="1"/>
    <col min="3" max="3" width="20.83203125" customWidth="1"/>
    <col min="4" max="5" width="12.75" customWidth="1"/>
    <col min="6" max="6" width="17.83203125" style="72" customWidth="1"/>
    <col min="7" max="7" width="15.58203125" customWidth="1"/>
    <col min="8" max="14" width="12.75" customWidth="1"/>
    <col min="15" max="15" width="28.58203125" customWidth="1"/>
  </cols>
  <sheetData>
    <row r="1" spans="1:15" ht="14.5">
      <c r="A1" s="1" t="s">
        <v>0</v>
      </c>
      <c r="B1" s="2" t="s">
        <v>1</v>
      </c>
      <c r="C1" s="2" t="s">
        <v>2</v>
      </c>
      <c r="D1" s="2" t="s">
        <v>3</v>
      </c>
      <c r="E1" s="71" t="s">
        <v>154</v>
      </c>
      <c r="F1" s="73" t="s">
        <v>4</v>
      </c>
      <c r="G1" s="3" t="s">
        <v>5</v>
      </c>
      <c r="H1" s="4" t="s">
        <v>10</v>
      </c>
      <c r="I1" s="4" t="s">
        <v>6</v>
      </c>
      <c r="J1" s="4" t="s">
        <v>7</v>
      </c>
      <c r="K1" s="5" t="s">
        <v>8</v>
      </c>
      <c r="L1" s="4" t="s">
        <v>9</v>
      </c>
      <c r="M1" s="71" t="s">
        <v>504</v>
      </c>
      <c r="N1" s="73" t="s">
        <v>505</v>
      </c>
      <c r="O1" s="4" t="s">
        <v>73</v>
      </c>
    </row>
    <row r="2" spans="1:15">
      <c r="A2" s="217">
        <v>45691</v>
      </c>
      <c r="B2" s="218" t="s">
        <v>602</v>
      </c>
      <c r="C2" s="218" t="s">
        <v>156</v>
      </c>
      <c r="D2" s="218" t="s">
        <v>122</v>
      </c>
      <c r="E2" s="218">
        <v>42000</v>
      </c>
      <c r="F2" s="219">
        <f t="shared" ref="F2:F33" si="0">E2/G2</f>
        <v>70.446986126975659</v>
      </c>
      <c r="G2" s="218">
        <v>596.19299999999998</v>
      </c>
      <c r="H2" s="77" t="s">
        <v>162</v>
      </c>
      <c r="I2" s="77" t="s">
        <v>603</v>
      </c>
      <c r="J2" s="218" t="s">
        <v>100</v>
      </c>
      <c r="K2" s="218" t="s">
        <v>159</v>
      </c>
      <c r="L2" s="218" t="s">
        <v>160</v>
      </c>
      <c r="M2" s="218"/>
      <c r="N2" s="218"/>
    </row>
    <row r="3" spans="1:15">
      <c r="A3" s="217">
        <v>45691</v>
      </c>
      <c r="B3" s="218" t="s">
        <v>604</v>
      </c>
      <c r="C3" s="218" t="s">
        <v>156</v>
      </c>
      <c r="D3" s="218" t="s">
        <v>120</v>
      </c>
      <c r="E3" s="218">
        <v>74000</v>
      </c>
      <c r="F3" s="219">
        <f t="shared" si="0"/>
        <v>124.12088031895712</v>
      </c>
      <c r="G3" s="218">
        <v>596.19299999999998</v>
      </c>
      <c r="H3" s="77" t="s">
        <v>162</v>
      </c>
      <c r="I3" s="77" t="s">
        <v>605</v>
      </c>
      <c r="J3" s="218" t="s">
        <v>100</v>
      </c>
      <c r="K3" s="218" t="s">
        <v>159</v>
      </c>
      <c r="L3" s="218" t="s">
        <v>160</v>
      </c>
      <c r="M3" s="218"/>
      <c r="N3" s="218"/>
    </row>
    <row r="4" spans="1:15">
      <c r="A4" s="217">
        <v>45691</v>
      </c>
      <c r="B4" s="218" t="s">
        <v>606</v>
      </c>
      <c r="C4" s="218" t="s">
        <v>156</v>
      </c>
      <c r="D4" s="218" t="s">
        <v>124</v>
      </c>
      <c r="E4" s="218">
        <v>88000</v>
      </c>
      <c r="F4" s="219">
        <f t="shared" si="0"/>
        <v>147.60320902794902</v>
      </c>
      <c r="G4" s="218">
        <v>596.19299999999998</v>
      </c>
      <c r="H4" s="77" t="s">
        <v>162</v>
      </c>
      <c r="I4" s="77" t="s">
        <v>607</v>
      </c>
      <c r="J4" s="218" t="s">
        <v>100</v>
      </c>
      <c r="K4" s="218" t="s">
        <v>159</v>
      </c>
      <c r="L4" s="218" t="s">
        <v>160</v>
      </c>
      <c r="M4" s="218"/>
      <c r="N4" s="218"/>
    </row>
    <row r="5" spans="1:15">
      <c r="A5" s="217">
        <v>45691</v>
      </c>
      <c r="B5" s="218" t="s">
        <v>608</v>
      </c>
      <c r="C5" s="218" t="s">
        <v>156</v>
      </c>
      <c r="D5" s="218" t="s">
        <v>123</v>
      </c>
      <c r="E5" s="218">
        <v>10000</v>
      </c>
      <c r="F5" s="219">
        <f t="shared" si="0"/>
        <v>16.773091934994206</v>
      </c>
      <c r="G5" s="218">
        <v>596.19299999999998</v>
      </c>
      <c r="H5" s="77" t="s">
        <v>162</v>
      </c>
      <c r="I5" s="77" t="s">
        <v>609</v>
      </c>
      <c r="J5" s="218" t="s">
        <v>100</v>
      </c>
      <c r="K5" s="218" t="s">
        <v>159</v>
      </c>
      <c r="L5" s="218" t="s">
        <v>160</v>
      </c>
      <c r="M5" s="218"/>
      <c r="N5" s="218"/>
    </row>
    <row r="6" spans="1:15">
      <c r="A6" s="217">
        <v>45691</v>
      </c>
      <c r="B6" s="218" t="s">
        <v>610</v>
      </c>
      <c r="C6" s="218" t="s">
        <v>156</v>
      </c>
      <c r="D6" s="218" t="s">
        <v>120</v>
      </c>
      <c r="E6" s="218">
        <v>10000</v>
      </c>
      <c r="F6" s="219">
        <f t="shared" si="0"/>
        <v>16.773091934994206</v>
      </c>
      <c r="G6" s="218">
        <v>596.19299999999998</v>
      </c>
      <c r="H6" s="77" t="s">
        <v>162</v>
      </c>
      <c r="I6" s="77" t="s">
        <v>611</v>
      </c>
      <c r="J6" s="218" t="s">
        <v>100</v>
      </c>
      <c r="K6" s="218" t="s">
        <v>159</v>
      </c>
      <c r="L6" s="218" t="s">
        <v>160</v>
      </c>
      <c r="M6" s="218"/>
      <c r="N6" s="218"/>
    </row>
    <row r="7" spans="1:15">
      <c r="A7" s="217">
        <v>45691</v>
      </c>
      <c r="B7" s="218" t="s">
        <v>612</v>
      </c>
      <c r="C7" s="218" t="s">
        <v>156</v>
      </c>
      <c r="D7" s="218" t="s">
        <v>124</v>
      </c>
      <c r="E7" s="218">
        <v>16000</v>
      </c>
      <c r="F7" s="219">
        <f t="shared" si="0"/>
        <v>26.836947095990727</v>
      </c>
      <c r="G7" s="218">
        <v>596.19299999999998</v>
      </c>
      <c r="H7" s="77" t="s">
        <v>162</v>
      </c>
      <c r="I7" s="77" t="s">
        <v>613</v>
      </c>
      <c r="J7" s="218" t="s">
        <v>100</v>
      </c>
      <c r="K7" s="218" t="s">
        <v>159</v>
      </c>
      <c r="L7" s="218" t="s">
        <v>160</v>
      </c>
      <c r="M7" s="218"/>
      <c r="N7" s="218"/>
    </row>
    <row r="8" spans="1:15">
      <c r="A8" s="217">
        <v>45691</v>
      </c>
      <c r="B8" s="218" t="s">
        <v>614</v>
      </c>
      <c r="C8" s="218" t="s">
        <v>156</v>
      </c>
      <c r="D8" s="218" t="s">
        <v>123</v>
      </c>
      <c r="E8" s="218">
        <v>11000</v>
      </c>
      <c r="F8" s="219">
        <f t="shared" si="0"/>
        <v>18.450401128493628</v>
      </c>
      <c r="G8" s="218">
        <v>596.19299999999998</v>
      </c>
      <c r="H8" s="77" t="s">
        <v>162</v>
      </c>
      <c r="I8" s="77" t="s">
        <v>615</v>
      </c>
      <c r="J8" s="218" t="s">
        <v>100</v>
      </c>
      <c r="K8" s="218" t="s">
        <v>159</v>
      </c>
      <c r="L8" s="218" t="s">
        <v>160</v>
      </c>
      <c r="M8" s="218"/>
      <c r="N8" s="218"/>
    </row>
    <row r="9" spans="1:15">
      <c r="A9" s="217">
        <v>45692</v>
      </c>
      <c r="B9" s="218" t="s">
        <v>879</v>
      </c>
      <c r="C9" s="218" t="s">
        <v>179</v>
      </c>
      <c r="D9" s="218" t="s">
        <v>120</v>
      </c>
      <c r="E9" s="218">
        <v>7000</v>
      </c>
      <c r="F9" s="219">
        <f t="shared" si="0"/>
        <v>11.741164354495943</v>
      </c>
      <c r="G9" s="218">
        <v>596.19299999999998</v>
      </c>
      <c r="H9" s="77" t="s">
        <v>193</v>
      </c>
      <c r="I9" s="77" t="s">
        <v>880</v>
      </c>
      <c r="J9" s="218" t="s">
        <v>100</v>
      </c>
      <c r="K9" s="218" t="s">
        <v>159</v>
      </c>
      <c r="L9" s="218" t="s">
        <v>160</v>
      </c>
      <c r="M9" s="218"/>
      <c r="N9" s="218"/>
    </row>
    <row r="10" spans="1:15">
      <c r="A10" s="217">
        <v>45692</v>
      </c>
      <c r="B10" s="218" t="s">
        <v>620</v>
      </c>
      <c r="C10" s="218" t="s">
        <v>263</v>
      </c>
      <c r="D10" s="218" t="s">
        <v>120</v>
      </c>
      <c r="E10" s="218">
        <v>70000</v>
      </c>
      <c r="F10" s="219">
        <f t="shared" si="0"/>
        <v>117.41164354495943</v>
      </c>
      <c r="G10" s="218">
        <v>596.19299999999998</v>
      </c>
      <c r="H10" s="77" t="s">
        <v>193</v>
      </c>
      <c r="I10" s="77" t="s">
        <v>621</v>
      </c>
      <c r="J10" s="218" t="s">
        <v>100</v>
      </c>
      <c r="K10" s="218" t="s">
        <v>159</v>
      </c>
      <c r="L10" s="218" t="s">
        <v>160</v>
      </c>
      <c r="M10" s="218"/>
      <c r="N10" s="218"/>
    </row>
    <row r="11" spans="1:15">
      <c r="A11" s="217">
        <v>45692</v>
      </c>
      <c r="B11" s="218" t="s">
        <v>926</v>
      </c>
      <c r="C11" s="218" t="s">
        <v>179</v>
      </c>
      <c r="D11" s="218" t="s">
        <v>120</v>
      </c>
      <c r="E11" s="218">
        <v>7000</v>
      </c>
      <c r="F11" s="219">
        <f t="shared" si="0"/>
        <v>11.741164354495943</v>
      </c>
      <c r="G11" s="218">
        <v>596.19299999999998</v>
      </c>
      <c r="H11" s="77" t="s">
        <v>199</v>
      </c>
      <c r="I11" s="77" t="s">
        <v>927</v>
      </c>
      <c r="J11" s="218" t="s">
        <v>100</v>
      </c>
      <c r="K11" s="218" t="s">
        <v>159</v>
      </c>
      <c r="L11" s="218" t="s">
        <v>160</v>
      </c>
      <c r="M11" s="218"/>
      <c r="N11" s="218"/>
    </row>
    <row r="12" spans="1:15">
      <c r="A12" s="217">
        <v>45692</v>
      </c>
      <c r="B12" s="218" t="s">
        <v>103</v>
      </c>
      <c r="C12" s="218" t="s">
        <v>312</v>
      </c>
      <c r="D12" s="218" t="s">
        <v>121</v>
      </c>
      <c r="E12" s="218">
        <v>260000</v>
      </c>
      <c r="F12" s="219">
        <f t="shared" si="0"/>
        <v>436.10039030984933</v>
      </c>
      <c r="G12" s="218">
        <v>596.19299999999998</v>
      </c>
      <c r="H12" s="77" t="s">
        <v>152</v>
      </c>
      <c r="I12" s="77" t="s">
        <v>511</v>
      </c>
      <c r="J12" s="218" t="s">
        <v>100</v>
      </c>
      <c r="K12" s="218" t="s">
        <v>159</v>
      </c>
      <c r="L12" s="218" t="s">
        <v>160</v>
      </c>
      <c r="M12" s="218"/>
      <c r="N12" s="218"/>
    </row>
    <row r="13" spans="1:15">
      <c r="A13" s="217">
        <v>45692</v>
      </c>
      <c r="B13" s="218" t="s">
        <v>989</v>
      </c>
      <c r="C13" s="218" t="s">
        <v>179</v>
      </c>
      <c r="D13" s="218" t="s">
        <v>124</v>
      </c>
      <c r="E13" s="218">
        <v>9000</v>
      </c>
      <c r="F13" s="219">
        <f t="shared" si="0"/>
        <v>15.095782741494785</v>
      </c>
      <c r="G13" s="218">
        <v>596.19299999999998</v>
      </c>
      <c r="H13" s="77" t="s">
        <v>327</v>
      </c>
      <c r="I13" s="77" t="s">
        <v>938</v>
      </c>
      <c r="J13" s="218" t="s">
        <v>100</v>
      </c>
      <c r="K13" s="218" t="s">
        <v>159</v>
      </c>
      <c r="L13" s="218" t="s">
        <v>160</v>
      </c>
      <c r="M13" s="218"/>
      <c r="N13" s="218"/>
    </row>
    <row r="14" spans="1:15">
      <c r="A14" s="217">
        <v>45693</v>
      </c>
      <c r="B14" s="218" t="s">
        <v>1002</v>
      </c>
      <c r="C14" s="218" t="s">
        <v>179</v>
      </c>
      <c r="D14" s="218" t="s">
        <v>124</v>
      </c>
      <c r="E14" s="218">
        <v>6000</v>
      </c>
      <c r="F14" s="219">
        <f t="shared" si="0"/>
        <v>10.063855160996523</v>
      </c>
      <c r="G14" s="218">
        <v>596.19299999999998</v>
      </c>
      <c r="H14" s="77" t="s">
        <v>190</v>
      </c>
      <c r="I14" s="77" t="s">
        <v>811</v>
      </c>
      <c r="J14" s="218" t="s">
        <v>100</v>
      </c>
      <c r="K14" s="218" t="s">
        <v>159</v>
      </c>
      <c r="L14" s="218" t="s">
        <v>160</v>
      </c>
      <c r="M14" s="218"/>
      <c r="N14" s="218"/>
    </row>
    <row r="15" spans="1:15">
      <c r="A15" s="217">
        <v>45693</v>
      </c>
      <c r="B15" s="218" t="s">
        <v>625</v>
      </c>
      <c r="C15" s="218" t="s">
        <v>177</v>
      </c>
      <c r="D15" s="218" t="s">
        <v>121</v>
      </c>
      <c r="E15" s="218">
        <v>25000</v>
      </c>
      <c r="F15" s="219">
        <f t="shared" si="0"/>
        <v>41.93272983748551</v>
      </c>
      <c r="G15" s="218">
        <v>596.19299999999998</v>
      </c>
      <c r="H15" s="77" t="s">
        <v>162</v>
      </c>
      <c r="I15" s="77" t="s">
        <v>626</v>
      </c>
      <c r="J15" s="218" t="s">
        <v>100</v>
      </c>
      <c r="K15" s="218" t="s">
        <v>159</v>
      </c>
      <c r="L15" s="218" t="s">
        <v>160</v>
      </c>
      <c r="M15" s="218"/>
      <c r="N15" s="218"/>
    </row>
    <row r="16" spans="1:15">
      <c r="A16" s="217">
        <v>45693</v>
      </c>
      <c r="B16" s="218" t="s">
        <v>627</v>
      </c>
      <c r="C16" s="218" t="s">
        <v>177</v>
      </c>
      <c r="D16" s="218" t="s">
        <v>121</v>
      </c>
      <c r="E16" s="218">
        <v>63000</v>
      </c>
      <c r="F16" s="219">
        <f t="shared" si="0"/>
        <v>105.6704791904635</v>
      </c>
      <c r="G16" s="218">
        <v>596.19299999999998</v>
      </c>
      <c r="H16" s="77" t="s">
        <v>162</v>
      </c>
      <c r="I16" s="77" t="s">
        <v>628</v>
      </c>
      <c r="J16" s="218" t="s">
        <v>100</v>
      </c>
      <c r="K16" s="218" t="s">
        <v>159</v>
      </c>
      <c r="L16" s="218" t="s">
        <v>160</v>
      </c>
      <c r="M16" s="218"/>
      <c r="N16" s="218"/>
    </row>
    <row r="17" spans="1:14">
      <c r="A17" s="217">
        <v>45693</v>
      </c>
      <c r="B17" s="218" t="s">
        <v>982</v>
      </c>
      <c r="C17" s="218" t="s">
        <v>183</v>
      </c>
      <c r="D17" s="218" t="s">
        <v>124</v>
      </c>
      <c r="E17" s="218">
        <v>230000</v>
      </c>
      <c r="F17" s="219">
        <f t="shared" si="0"/>
        <v>385.78111450486671</v>
      </c>
      <c r="G17" s="218">
        <v>596.19299999999998</v>
      </c>
      <c r="H17" s="77" t="s">
        <v>190</v>
      </c>
      <c r="I17" s="77" t="s">
        <v>812</v>
      </c>
      <c r="J17" s="218" t="s">
        <v>100</v>
      </c>
      <c r="K17" s="218" t="s">
        <v>159</v>
      </c>
      <c r="L17" s="218" t="s">
        <v>160</v>
      </c>
      <c r="M17" s="218"/>
      <c r="N17" s="218"/>
    </row>
    <row r="18" spans="1:14">
      <c r="A18" s="217">
        <v>45693</v>
      </c>
      <c r="B18" s="218" t="s">
        <v>1001</v>
      </c>
      <c r="C18" s="218" t="s">
        <v>183</v>
      </c>
      <c r="D18" s="218" t="s">
        <v>124</v>
      </c>
      <c r="E18" s="218">
        <v>70000</v>
      </c>
      <c r="F18" s="219">
        <f t="shared" si="0"/>
        <v>117.41164354495943</v>
      </c>
      <c r="G18" s="218">
        <v>596.19299999999998</v>
      </c>
      <c r="H18" s="77" t="s">
        <v>327</v>
      </c>
      <c r="I18" s="77" t="s">
        <v>937</v>
      </c>
      <c r="J18" s="218" t="s">
        <v>100</v>
      </c>
      <c r="K18" s="218" t="s">
        <v>159</v>
      </c>
      <c r="L18" s="218" t="s">
        <v>160</v>
      </c>
      <c r="M18" s="218"/>
      <c r="N18" s="218"/>
    </row>
    <row r="19" spans="1:14">
      <c r="A19" s="217">
        <v>45693</v>
      </c>
      <c r="B19" s="218" t="s">
        <v>989</v>
      </c>
      <c r="C19" s="218" t="s">
        <v>179</v>
      </c>
      <c r="D19" s="218" t="s">
        <v>124</v>
      </c>
      <c r="E19" s="218">
        <v>5000</v>
      </c>
      <c r="F19" s="219">
        <f t="shared" si="0"/>
        <v>8.3865459674971028</v>
      </c>
      <c r="G19" s="218">
        <v>596.19299999999998</v>
      </c>
      <c r="H19" s="77" t="s">
        <v>327</v>
      </c>
      <c r="I19" s="77" t="s">
        <v>938</v>
      </c>
      <c r="J19" s="218" t="s">
        <v>100</v>
      </c>
      <c r="K19" s="218" t="s">
        <v>159</v>
      </c>
      <c r="L19" s="218" t="s">
        <v>160</v>
      </c>
      <c r="M19" s="218"/>
      <c r="N19" s="218"/>
    </row>
    <row r="20" spans="1:14">
      <c r="A20" s="217">
        <v>45693</v>
      </c>
      <c r="B20" s="218" t="s">
        <v>881</v>
      </c>
      <c r="C20" s="218" t="s">
        <v>183</v>
      </c>
      <c r="D20" s="218" t="s">
        <v>120</v>
      </c>
      <c r="E20" s="218">
        <v>20000</v>
      </c>
      <c r="F20" s="219">
        <f t="shared" si="0"/>
        <v>33.546183869988411</v>
      </c>
      <c r="G20" s="218">
        <v>596.19299999999998</v>
      </c>
      <c r="H20" s="77" t="s">
        <v>193</v>
      </c>
      <c r="I20" s="77" t="s">
        <v>882</v>
      </c>
      <c r="J20" s="218" t="s">
        <v>100</v>
      </c>
      <c r="K20" s="218" t="s">
        <v>159</v>
      </c>
      <c r="L20" s="218" t="s">
        <v>160</v>
      </c>
      <c r="M20" s="218"/>
      <c r="N20" s="218"/>
    </row>
    <row r="21" spans="1:14">
      <c r="A21" s="217">
        <v>45693</v>
      </c>
      <c r="B21" s="218" t="s">
        <v>928</v>
      </c>
      <c r="C21" s="218" t="s">
        <v>183</v>
      </c>
      <c r="D21" s="218" t="s">
        <v>120</v>
      </c>
      <c r="E21" s="218">
        <v>20000</v>
      </c>
      <c r="F21" s="219">
        <f t="shared" si="0"/>
        <v>33.546183869988411</v>
      </c>
      <c r="G21" s="218">
        <v>596.19299999999998</v>
      </c>
      <c r="H21" s="77" t="s">
        <v>199</v>
      </c>
      <c r="I21" s="77" t="s">
        <v>929</v>
      </c>
      <c r="J21" s="218" t="s">
        <v>100</v>
      </c>
      <c r="K21" s="218" t="s">
        <v>159</v>
      </c>
      <c r="L21" s="218" t="s">
        <v>160</v>
      </c>
      <c r="M21" s="218"/>
      <c r="N21" s="218"/>
    </row>
    <row r="22" spans="1:14">
      <c r="A22" s="217">
        <v>45693</v>
      </c>
      <c r="B22" s="218" t="s">
        <v>102</v>
      </c>
      <c r="C22" s="218" t="s">
        <v>129</v>
      </c>
      <c r="D22" s="218" t="s">
        <v>121</v>
      </c>
      <c r="E22" s="218">
        <v>500000</v>
      </c>
      <c r="F22" s="219">
        <f t="shared" si="0"/>
        <v>838.65459674971032</v>
      </c>
      <c r="G22" s="218">
        <v>596.19299999999998</v>
      </c>
      <c r="H22" s="77" t="s">
        <v>152</v>
      </c>
      <c r="I22" s="77" t="s">
        <v>514</v>
      </c>
      <c r="J22" s="218" t="s">
        <v>100</v>
      </c>
      <c r="K22" s="218" t="s">
        <v>159</v>
      </c>
      <c r="L22" s="218" t="s">
        <v>160</v>
      </c>
      <c r="M22" s="218"/>
      <c r="N22" s="218"/>
    </row>
    <row r="23" spans="1:14">
      <c r="A23" s="217">
        <v>45694</v>
      </c>
      <c r="B23" s="218" t="s">
        <v>1012</v>
      </c>
      <c r="C23" s="218" t="s">
        <v>179</v>
      </c>
      <c r="D23" s="218" t="s">
        <v>124</v>
      </c>
      <c r="E23" s="218">
        <v>9000</v>
      </c>
      <c r="F23" s="219">
        <f t="shared" si="0"/>
        <v>15.095782741494785</v>
      </c>
      <c r="G23" s="218">
        <v>596.19299999999998</v>
      </c>
      <c r="H23" s="77" t="s">
        <v>181</v>
      </c>
      <c r="I23" s="77" t="s">
        <v>840</v>
      </c>
      <c r="J23" s="218" t="s">
        <v>100</v>
      </c>
      <c r="K23" s="218" t="s">
        <v>159</v>
      </c>
      <c r="L23" s="218" t="s">
        <v>160</v>
      </c>
      <c r="M23" s="218"/>
      <c r="N23" s="218"/>
    </row>
    <row r="24" spans="1:14">
      <c r="A24" s="217">
        <v>45694</v>
      </c>
      <c r="B24" s="218" t="s">
        <v>1008</v>
      </c>
      <c r="C24" s="218" t="s">
        <v>469</v>
      </c>
      <c r="D24" s="218" t="s">
        <v>124</v>
      </c>
      <c r="E24" s="218">
        <v>190000</v>
      </c>
      <c r="F24" s="219">
        <f t="shared" si="0"/>
        <v>318.68874676488991</v>
      </c>
      <c r="G24" s="218">
        <v>596.19299999999998</v>
      </c>
      <c r="H24" s="77" t="s">
        <v>181</v>
      </c>
      <c r="I24" s="77" t="s">
        <v>841</v>
      </c>
      <c r="J24" s="218" t="s">
        <v>100</v>
      </c>
      <c r="K24" s="218" t="s">
        <v>159</v>
      </c>
      <c r="L24" s="218" t="s">
        <v>160</v>
      </c>
      <c r="M24" s="218"/>
      <c r="N24" s="218"/>
    </row>
    <row r="25" spans="1:14">
      <c r="A25" s="217">
        <v>45694</v>
      </c>
      <c r="B25" s="218" t="s">
        <v>549</v>
      </c>
      <c r="C25" s="218" t="s">
        <v>325</v>
      </c>
      <c r="D25" s="218" t="s">
        <v>123</v>
      </c>
      <c r="E25" s="218">
        <v>148000</v>
      </c>
      <c r="F25" s="219">
        <f t="shared" si="0"/>
        <v>248.24176063791424</v>
      </c>
      <c r="G25" s="218">
        <v>596.19299999999998</v>
      </c>
      <c r="H25" s="77" t="s">
        <v>220</v>
      </c>
      <c r="I25" s="77" t="s">
        <v>550</v>
      </c>
      <c r="J25" s="218" t="s">
        <v>100</v>
      </c>
      <c r="K25" s="218" t="s">
        <v>159</v>
      </c>
      <c r="L25" s="218" t="s">
        <v>160</v>
      </c>
      <c r="M25" s="218"/>
      <c r="N25" s="218"/>
    </row>
    <row r="26" spans="1:14">
      <c r="A26" s="217">
        <v>45695</v>
      </c>
      <c r="B26" s="218" t="s">
        <v>1002</v>
      </c>
      <c r="C26" s="218" t="s">
        <v>179</v>
      </c>
      <c r="D26" s="218" t="s">
        <v>124</v>
      </c>
      <c r="E26" s="218">
        <v>5000</v>
      </c>
      <c r="F26" s="219">
        <f t="shared" si="0"/>
        <v>8.3865459674971028</v>
      </c>
      <c r="G26" s="218">
        <v>596.19299999999998</v>
      </c>
      <c r="H26" s="77" t="s">
        <v>190</v>
      </c>
      <c r="I26" s="77" t="s">
        <v>814</v>
      </c>
      <c r="J26" s="218" t="s">
        <v>100</v>
      </c>
      <c r="K26" s="218" t="s">
        <v>159</v>
      </c>
      <c r="L26" s="218" t="s">
        <v>160</v>
      </c>
      <c r="M26" s="218"/>
      <c r="N26" s="218"/>
    </row>
    <row r="27" spans="1:14">
      <c r="A27" s="217">
        <v>45695</v>
      </c>
      <c r="B27" s="218" t="s">
        <v>1003</v>
      </c>
      <c r="C27" s="218" t="s">
        <v>183</v>
      </c>
      <c r="D27" s="218" t="s">
        <v>124</v>
      </c>
      <c r="E27" s="218">
        <v>30000</v>
      </c>
      <c r="F27" s="219">
        <f t="shared" si="0"/>
        <v>50.319275804982617</v>
      </c>
      <c r="G27" s="218">
        <v>596.19299999999998</v>
      </c>
      <c r="H27" s="77" t="s">
        <v>190</v>
      </c>
      <c r="I27" s="77" t="s">
        <v>815</v>
      </c>
      <c r="J27" s="218" t="s">
        <v>100</v>
      </c>
      <c r="K27" s="218" t="s">
        <v>159</v>
      </c>
      <c r="L27" s="218" t="s">
        <v>160</v>
      </c>
      <c r="M27" s="218"/>
      <c r="N27" s="218"/>
    </row>
    <row r="28" spans="1:14">
      <c r="A28" s="217">
        <v>45695</v>
      </c>
      <c r="B28" s="218" t="s">
        <v>998</v>
      </c>
      <c r="C28" s="218" t="s">
        <v>183</v>
      </c>
      <c r="D28" s="218" t="s">
        <v>124</v>
      </c>
      <c r="E28" s="218">
        <v>30000</v>
      </c>
      <c r="F28" s="219">
        <f t="shared" si="0"/>
        <v>50.319275804982617</v>
      </c>
      <c r="G28" s="218">
        <v>596.19299999999998</v>
      </c>
      <c r="H28" s="77" t="s">
        <v>327</v>
      </c>
      <c r="I28" s="77" t="s">
        <v>938</v>
      </c>
      <c r="J28" s="218" t="s">
        <v>100</v>
      </c>
      <c r="K28" s="218" t="s">
        <v>159</v>
      </c>
      <c r="L28" s="218" t="s">
        <v>160</v>
      </c>
      <c r="M28" s="218"/>
      <c r="N28" s="218"/>
    </row>
    <row r="29" spans="1:14">
      <c r="A29" s="217">
        <v>45695</v>
      </c>
      <c r="B29" s="218" t="s">
        <v>989</v>
      </c>
      <c r="C29" s="218" t="s">
        <v>179</v>
      </c>
      <c r="D29" s="218" t="s">
        <v>124</v>
      </c>
      <c r="E29" s="218">
        <v>5000</v>
      </c>
      <c r="F29" s="219">
        <f t="shared" si="0"/>
        <v>8.3865459674971028</v>
      </c>
      <c r="G29" s="218">
        <v>596.19299999999998</v>
      </c>
      <c r="H29" s="77" t="s">
        <v>327</v>
      </c>
      <c r="I29" s="77" t="s">
        <v>940</v>
      </c>
      <c r="J29" s="218" t="s">
        <v>100</v>
      </c>
      <c r="K29" s="218" t="s">
        <v>159</v>
      </c>
      <c r="L29" s="218" t="s">
        <v>160</v>
      </c>
      <c r="M29" s="218"/>
      <c r="N29" s="218"/>
    </row>
    <row r="30" spans="1:14">
      <c r="A30" s="217">
        <v>45695</v>
      </c>
      <c r="B30" s="218" t="s">
        <v>989</v>
      </c>
      <c r="C30" s="218" t="s">
        <v>179</v>
      </c>
      <c r="D30" s="218" t="s">
        <v>124</v>
      </c>
      <c r="E30" s="218">
        <v>4500</v>
      </c>
      <c r="F30" s="219">
        <f t="shared" si="0"/>
        <v>7.5478913707473927</v>
      </c>
      <c r="G30" s="218">
        <v>596.19299999999998</v>
      </c>
      <c r="H30" s="77" t="s">
        <v>327</v>
      </c>
      <c r="I30" s="77" t="s">
        <v>941</v>
      </c>
      <c r="J30" s="218" t="s">
        <v>100</v>
      </c>
      <c r="K30" s="218" t="s">
        <v>159</v>
      </c>
      <c r="L30" s="218" t="s">
        <v>160</v>
      </c>
      <c r="M30" s="218"/>
      <c r="N30" s="218"/>
    </row>
    <row r="31" spans="1:14">
      <c r="A31" s="217">
        <v>45695</v>
      </c>
      <c r="B31" s="218" t="s">
        <v>883</v>
      </c>
      <c r="C31" s="218" t="s">
        <v>179</v>
      </c>
      <c r="D31" s="218" t="s">
        <v>120</v>
      </c>
      <c r="E31" s="218">
        <v>7000</v>
      </c>
      <c r="F31" s="219">
        <f t="shared" si="0"/>
        <v>11.741164354495943</v>
      </c>
      <c r="G31" s="218">
        <v>596.19299999999998</v>
      </c>
      <c r="H31" s="77" t="s">
        <v>193</v>
      </c>
      <c r="I31" s="77" t="s">
        <v>884</v>
      </c>
      <c r="J31" s="218" t="s">
        <v>100</v>
      </c>
      <c r="K31" s="218" t="s">
        <v>159</v>
      </c>
      <c r="L31" s="218" t="s">
        <v>160</v>
      </c>
      <c r="M31" s="218"/>
      <c r="N31" s="218"/>
    </row>
    <row r="32" spans="1:14">
      <c r="A32" s="217">
        <v>45695</v>
      </c>
      <c r="B32" s="218" t="s">
        <v>885</v>
      </c>
      <c r="C32" s="218" t="s">
        <v>183</v>
      </c>
      <c r="D32" s="218" t="s">
        <v>120</v>
      </c>
      <c r="E32" s="218">
        <v>30000</v>
      </c>
      <c r="F32" s="219">
        <f t="shared" si="0"/>
        <v>50.319275804982617</v>
      </c>
      <c r="G32" s="218">
        <v>596.19299999999998</v>
      </c>
      <c r="H32" s="77" t="s">
        <v>193</v>
      </c>
      <c r="I32" s="77" t="s">
        <v>886</v>
      </c>
      <c r="J32" s="218" t="s">
        <v>100</v>
      </c>
      <c r="K32" s="218" t="s">
        <v>159</v>
      </c>
      <c r="L32" s="218" t="s">
        <v>160</v>
      </c>
      <c r="M32" s="218"/>
      <c r="N32" s="218"/>
    </row>
    <row r="33" spans="1:14">
      <c r="A33" s="217">
        <v>45695</v>
      </c>
      <c r="B33" s="218" t="s">
        <v>930</v>
      </c>
      <c r="C33" s="218" t="s">
        <v>179</v>
      </c>
      <c r="D33" s="218" t="s">
        <v>120</v>
      </c>
      <c r="E33" s="218">
        <v>7000</v>
      </c>
      <c r="F33" s="219">
        <f t="shared" si="0"/>
        <v>11.741164354495943</v>
      </c>
      <c r="G33" s="218">
        <v>596.19299999999998</v>
      </c>
      <c r="H33" s="77" t="s">
        <v>199</v>
      </c>
      <c r="I33" s="77" t="s">
        <v>931</v>
      </c>
      <c r="J33" s="218" t="s">
        <v>100</v>
      </c>
      <c r="K33" s="218" t="s">
        <v>159</v>
      </c>
      <c r="L33" s="218" t="s">
        <v>160</v>
      </c>
      <c r="M33" s="218"/>
      <c r="N33" s="218"/>
    </row>
    <row r="34" spans="1:14">
      <c r="A34" s="217">
        <v>45695</v>
      </c>
      <c r="B34" s="218" t="s">
        <v>932</v>
      </c>
      <c r="C34" s="218" t="s">
        <v>183</v>
      </c>
      <c r="D34" s="218" t="s">
        <v>120</v>
      </c>
      <c r="E34" s="218">
        <v>30000</v>
      </c>
      <c r="F34" s="219">
        <f t="shared" ref="F34:F65" si="1">E34/G34</f>
        <v>50.319275804982617</v>
      </c>
      <c r="G34" s="218">
        <v>596.19299999999998</v>
      </c>
      <c r="H34" s="77" t="s">
        <v>199</v>
      </c>
      <c r="I34" s="77" t="s">
        <v>933</v>
      </c>
      <c r="J34" s="218" t="s">
        <v>100</v>
      </c>
      <c r="K34" s="218" t="s">
        <v>159</v>
      </c>
      <c r="L34" s="218" t="s">
        <v>160</v>
      </c>
      <c r="M34" s="218"/>
      <c r="N34" s="218"/>
    </row>
    <row r="35" spans="1:14">
      <c r="A35" s="217">
        <v>45695</v>
      </c>
      <c r="B35" s="218" t="s">
        <v>198</v>
      </c>
      <c r="C35" s="218" t="s">
        <v>188</v>
      </c>
      <c r="D35" s="218" t="s">
        <v>121</v>
      </c>
      <c r="E35" s="218">
        <v>4830.0000000000009</v>
      </c>
      <c r="F35" s="219">
        <f t="shared" si="1"/>
        <v>8.1014034046022019</v>
      </c>
      <c r="G35" s="218">
        <v>596.19299999999998</v>
      </c>
      <c r="H35" s="77" t="s">
        <v>196</v>
      </c>
      <c r="I35" s="77" t="s">
        <v>555</v>
      </c>
      <c r="J35" s="218" t="s">
        <v>100</v>
      </c>
      <c r="K35" s="218" t="s">
        <v>159</v>
      </c>
      <c r="L35" s="218" t="s">
        <v>160</v>
      </c>
      <c r="M35" s="218"/>
      <c r="N35" s="218"/>
    </row>
    <row r="36" spans="1:14">
      <c r="A36" s="217">
        <v>45695</v>
      </c>
      <c r="B36" s="218" t="s">
        <v>974</v>
      </c>
      <c r="C36" s="218" t="s">
        <v>188</v>
      </c>
      <c r="D36" s="218" t="s">
        <v>121</v>
      </c>
      <c r="E36" s="218">
        <v>13615</v>
      </c>
      <c r="F36" s="219">
        <f t="shared" si="1"/>
        <v>22.180704562790044</v>
      </c>
      <c r="G36" s="220">
        <v>613.82180000000005</v>
      </c>
      <c r="H36" s="77" t="s">
        <v>199</v>
      </c>
      <c r="I36" s="77" t="s">
        <v>719</v>
      </c>
      <c r="J36" s="218" t="s">
        <v>100</v>
      </c>
      <c r="K36" s="218" t="s">
        <v>451</v>
      </c>
      <c r="L36" s="218" t="s">
        <v>160</v>
      </c>
      <c r="M36" s="218"/>
      <c r="N36" s="218"/>
    </row>
    <row r="37" spans="1:14">
      <c r="A37" s="217">
        <v>45696</v>
      </c>
      <c r="B37" s="218" t="s">
        <v>985</v>
      </c>
      <c r="C37" s="218" t="s">
        <v>179</v>
      </c>
      <c r="D37" s="218" t="s">
        <v>124</v>
      </c>
      <c r="E37" s="218">
        <v>8000</v>
      </c>
      <c r="F37" s="219">
        <f t="shared" si="1"/>
        <v>13.418473547995363</v>
      </c>
      <c r="G37" s="218">
        <v>596.19299999999998</v>
      </c>
      <c r="H37" s="77" t="s">
        <v>333</v>
      </c>
      <c r="I37" s="77" t="s">
        <v>861</v>
      </c>
      <c r="J37" s="218" t="s">
        <v>100</v>
      </c>
      <c r="K37" s="218" t="s">
        <v>159</v>
      </c>
      <c r="L37" s="218" t="s">
        <v>160</v>
      </c>
      <c r="M37" s="218"/>
      <c r="N37" s="218"/>
    </row>
    <row r="38" spans="1:14">
      <c r="A38" s="217">
        <v>45696</v>
      </c>
      <c r="B38" s="218" t="s">
        <v>971</v>
      </c>
      <c r="C38" s="218" t="s">
        <v>469</v>
      </c>
      <c r="D38" s="218" t="s">
        <v>124</v>
      </c>
      <c r="E38" s="218">
        <v>70000</v>
      </c>
      <c r="F38" s="219">
        <f t="shared" si="1"/>
        <v>117.41164354495943</v>
      </c>
      <c r="G38" s="218">
        <v>596.19299999999998</v>
      </c>
      <c r="H38" s="77" t="s">
        <v>333</v>
      </c>
      <c r="I38" s="77" t="s">
        <v>863</v>
      </c>
      <c r="J38" s="218" t="s">
        <v>100</v>
      </c>
      <c r="K38" s="218" t="s">
        <v>159</v>
      </c>
      <c r="L38" s="218" t="s">
        <v>160</v>
      </c>
      <c r="M38" s="218"/>
      <c r="N38" s="218"/>
    </row>
    <row r="39" spans="1:14">
      <c r="A39" s="217">
        <v>45696</v>
      </c>
      <c r="B39" s="218" t="s">
        <v>985</v>
      </c>
      <c r="C39" s="218" t="s">
        <v>179</v>
      </c>
      <c r="D39" s="218" t="s">
        <v>124</v>
      </c>
      <c r="E39" s="218">
        <v>4000</v>
      </c>
      <c r="F39" s="219">
        <f t="shared" si="1"/>
        <v>6.7092367739976817</v>
      </c>
      <c r="G39" s="218">
        <v>596.19299999999998</v>
      </c>
      <c r="H39" s="77" t="s">
        <v>333</v>
      </c>
      <c r="I39" s="77" t="s">
        <v>865</v>
      </c>
      <c r="J39" s="218" t="s">
        <v>100</v>
      </c>
      <c r="K39" s="218" t="s">
        <v>159</v>
      </c>
      <c r="L39" s="218" t="s">
        <v>160</v>
      </c>
      <c r="M39" s="218"/>
      <c r="N39" s="218"/>
    </row>
    <row r="40" spans="1:14">
      <c r="A40" s="217">
        <v>45697</v>
      </c>
      <c r="B40" s="218" t="s">
        <v>1004</v>
      </c>
      <c r="C40" s="218" t="s">
        <v>183</v>
      </c>
      <c r="D40" s="218" t="s">
        <v>124</v>
      </c>
      <c r="E40" s="218">
        <v>30000</v>
      </c>
      <c r="F40" s="219">
        <f t="shared" si="1"/>
        <v>50.319275804982617</v>
      </c>
      <c r="G40" s="218">
        <v>596.19299999999998</v>
      </c>
      <c r="H40" s="77" t="s">
        <v>190</v>
      </c>
      <c r="I40" s="77" t="s">
        <v>816</v>
      </c>
      <c r="J40" s="218" t="s">
        <v>100</v>
      </c>
      <c r="K40" s="218" t="s">
        <v>159</v>
      </c>
      <c r="L40" s="218" t="s">
        <v>160</v>
      </c>
      <c r="M40" s="218"/>
      <c r="N40" s="218"/>
    </row>
    <row r="41" spans="1:14">
      <c r="A41" s="217">
        <v>45697</v>
      </c>
      <c r="B41" s="218" t="s">
        <v>1002</v>
      </c>
      <c r="C41" s="218" t="s">
        <v>179</v>
      </c>
      <c r="D41" s="218" t="s">
        <v>124</v>
      </c>
      <c r="E41" s="218">
        <v>5000</v>
      </c>
      <c r="F41" s="219">
        <f t="shared" si="1"/>
        <v>8.3865459674971028</v>
      </c>
      <c r="G41" s="218">
        <v>596.19299999999998</v>
      </c>
      <c r="H41" s="77" t="s">
        <v>190</v>
      </c>
      <c r="I41" s="77" t="s">
        <v>817</v>
      </c>
      <c r="J41" s="218" t="s">
        <v>100</v>
      </c>
      <c r="K41" s="218" t="s">
        <v>159</v>
      </c>
      <c r="L41" s="218" t="s">
        <v>160</v>
      </c>
      <c r="M41" s="218"/>
      <c r="N41" s="218"/>
    </row>
    <row r="42" spans="1:14">
      <c r="A42" s="217">
        <v>45697</v>
      </c>
      <c r="B42" s="218" t="s">
        <v>818</v>
      </c>
      <c r="C42" s="218" t="s">
        <v>379</v>
      </c>
      <c r="D42" s="218" t="s">
        <v>124</v>
      </c>
      <c r="E42" s="218">
        <v>39500</v>
      </c>
      <c r="F42" s="219">
        <f t="shared" si="1"/>
        <v>66.253713143227117</v>
      </c>
      <c r="G42" s="218">
        <v>596.19299999999998</v>
      </c>
      <c r="H42" s="77" t="s">
        <v>190</v>
      </c>
      <c r="I42" s="77" t="s">
        <v>819</v>
      </c>
      <c r="J42" s="218" t="s">
        <v>100</v>
      </c>
      <c r="K42" s="218" t="s">
        <v>159</v>
      </c>
      <c r="L42" s="218" t="s">
        <v>160</v>
      </c>
      <c r="M42" s="218"/>
      <c r="N42" s="218"/>
    </row>
    <row r="43" spans="1:14">
      <c r="A43" s="217">
        <v>45697</v>
      </c>
      <c r="B43" s="218" t="s">
        <v>997</v>
      </c>
      <c r="C43" s="218" t="s">
        <v>183</v>
      </c>
      <c r="D43" s="218" t="s">
        <v>124</v>
      </c>
      <c r="E43" s="218">
        <v>30000</v>
      </c>
      <c r="F43" s="219">
        <f t="shared" si="1"/>
        <v>50.319275804982617</v>
      </c>
      <c r="G43" s="218">
        <v>596.19299999999998</v>
      </c>
      <c r="H43" s="77" t="s">
        <v>327</v>
      </c>
      <c r="I43" s="77" t="s">
        <v>942</v>
      </c>
      <c r="J43" s="218" t="s">
        <v>100</v>
      </c>
      <c r="K43" s="218" t="s">
        <v>159</v>
      </c>
      <c r="L43" s="218" t="s">
        <v>160</v>
      </c>
      <c r="M43" s="218"/>
      <c r="N43" s="218"/>
    </row>
    <row r="44" spans="1:14">
      <c r="A44" s="217">
        <v>45697</v>
      </c>
      <c r="B44" s="218" t="s">
        <v>989</v>
      </c>
      <c r="C44" s="218" t="s">
        <v>179</v>
      </c>
      <c r="D44" s="218" t="s">
        <v>124</v>
      </c>
      <c r="E44" s="218">
        <v>3000</v>
      </c>
      <c r="F44" s="219">
        <f t="shared" si="1"/>
        <v>5.0319275804982615</v>
      </c>
      <c r="G44" s="218">
        <v>596.19299999999998</v>
      </c>
      <c r="H44" s="77" t="s">
        <v>327</v>
      </c>
      <c r="I44" s="77" t="s">
        <v>944</v>
      </c>
      <c r="J44" s="218" t="s">
        <v>100</v>
      </c>
      <c r="K44" s="218" t="s">
        <v>159</v>
      </c>
      <c r="L44" s="218" t="s">
        <v>160</v>
      </c>
      <c r="M44" s="218"/>
      <c r="N44" s="218"/>
    </row>
    <row r="45" spans="1:14">
      <c r="A45" s="217">
        <v>45698</v>
      </c>
      <c r="B45" s="218" t="s">
        <v>1005</v>
      </c>
      <c r="C45" s="218" t="s">
        <v>183</v>
      </c>
      <c r="D45" s="218" t="s">
        <v>124</v>
      </c>
      <c r="E45" s="218">
        <v>15000</v>
      </c>
      <c r="F45" s="219">
        <f t="shared" si="1"/>
        <v>25.159637902491308</v>
      </c>
      <c r="G45" s="218">
        <v>596.19299999999998</v>
      </c>
      <c r="H45" s="77" t="s">
        <v>190</v>
      </c>
      <c r="I45" s="77" t="s">
        <v>820</v>
      </c>
      <c r="J45" s="218" t="s">
        <v>100</v>
      </c>
      <c r="K45" s="218" t="s">
        <v>159</v>
      </c>
      <c r="L45" s="218" t="s">
        <v>160</v>
      </c>
      <c r="M45" s="218"/>
      <c r="N45" s="218"/>
    </row>
    <row r="46" spans="1:14">
      <c r="A46" s="217">
        <v>45698</v>
      </c>
      <c r="B46" s="218" t="s">
        <v>1002</v>
      </c>
      <c r="C46" s="218" t="s">
        <v>179</v>
      </c>
      <c r="D46" s="218" t="s">
        <v>124</v>
      </c>
      <c r="E46" s="218">
        <v>5000</v>
      </c>
      <c r="F46" s="219">
        <f t="shared" si="1"/>
        <v>8.3865459674971028</v>
      </c>
      <c r="G46" s="218">
        <v>596.19299999999998</v>
      </c>
      <c r="H46" s="77" t="s">
        <v>190</v>
      </c>
      <c r="I46" s="77" t="s">
        <v>822</v>
      </c>
      <c r="J46" s="218" t="s">
        <v>100</v>
      </c>
      <c r="K46" s="218" t="s">
        <v>159</v>
      </c>
      <c r="L46" s="218" t="s">
        <v>160</v>
      </c>
      <c r="M46" s="218"/>
      <c r="N46" s="218"/>
    </row>
    <row r="47" spans="1:14">
      <c r="A47" s="217">
        <v>45698</v>
      </c>
      <c r="B47" s="218" t="s">
        <v>1009</v>
      </c>
      <c r="C47" s="218" t="s">
        <v>469</v>
      </c>
      <c r="D47" s="218" t="s">
        <v>124</v>
      </c>
      <c r="E47" s="218">
        <v>60000</v>
      </c>
      <c r="F47" s="219">
        <f t="shared" si="1"/>
        <v>100.63855160996523</v>
      </c>
      <c r="G47" s="218">
        <v>596.19299999999998</v>
      </c>
      <c r="H47" s="77" t="s">
        <v>181</v>
      </c>
      <c r="I47" s="77" t="s">
        <v>843</v>
      </c>
      <c r="J47" s="218" t="s">
        <v>100</v>
      </c>
      <c r="K47" s="218" t="s">
        <v>159</v>
      </c>
      <c r="L47" s="218" t="s">
        <v>160</v>
      </c>
      <c r="M47" s="218"/>
      <c r="N47" s="218"/>
    </row>
    <row r="48" spans="1:14">
      <c r="A48" s="217">
        <v>45698</v>
      </c>
      <c r="B48" s="218" t="s">
        <v>1012</v>
      </c>
      <c r="C48" s="218" t="s">
        <v>179</v>
      </c>
      <c r="D48" s="218" t="s">
        <v>124</v>
      </c>
      <c r="E48" s="218">
        <v>3000</v>
      </c>
      <c r="F48" s="219">
        <f t="shared" si="1"/>
        <v>5.0319275804982615</v>
      </c>
      <c r="G48" s="218">
        <v>596.19299999999998</v>
      </c>
      <c r="H48" s="77" t="s">
        <v>181</v>
      </c>
      <c r="I48" s="77" t="s">
        <v>844</v>
      </c>
      <c r="J48" s="218" t="s">
        <v>100</v>
      </c>
      <c r="K48" s="218" t="s">
        <v>159</v>
      </c>
      <c r="L48" s="218" t="s">
        <v>160</v>
      </c>
      <c r="M48" s="218"/>
      <c r="N48" s="218"/>
    </row>
    <row r="49" spans="1:14">
      <c r="A49" s="217">
        <v>45698</v>
      </c>
      <c r="B49" s="218" t="s">
        <v>634</v>
      </c>
      <c r="C49" s="218" t="s">
        <v>188</v>
      </c>
      <c r="D49" s="218" t="s">
        <v>121</v>
      </c>
      <c r="E49" s="218">
        <v>4110</v>
      </c>
      <c r="F49" s="219">
        <f t="shared" si="1"/>
        <v>6.8937407852826187</v>
      </c>
      <c r="G49" s="218">
        <v>596.19299999999998</v>
      </c>
      <c r="H49" s="77" t="s">
        <v>199</v>
      </c>
      <c r="I49" s="77" t="s">
        <v>635</v>
      </c>
      <c r="J49" s="218" t="s">
        <v>100</v>
      </c>
      <c r="K49" s="218" t="s">
        <v>159</v>
      </c>
      <c r="L49" s="218" t="s">
        <v>160</v>
      </c>
      <c r="M49" s="218"/>
      <c r="N49" s="218"/>
    </row>
    <row r="50" spans="1:14">
      <c r="A50" s="217">
        <v>45699</v>
      </c>
      <c r="B50" s="218" t="s">
        <v>640</v>
      </c>
      <c r="C50" s="218" t="s">
        <v>130</v>
      </c>
      <c r="D50" s="218" t="s">
        <v>121</v>
      </c>
      <c r="E50" s="218">
        <v>94430</v>
      </c>
      <c r="F50" s="219">
        <f t="shared" si="1"/>
        <v>158.38830714215027</v>
      </c>
      <c r="G50" s="218">
        <v>596.19299999999998</v>
      </c>
      <c r="H50" s="77" t="s">
        <v>162</v>
      </c>
      <c r="I50" s="77" t="s">
        <v>641</v>
      </c>
      <c r="J50" s="218" t="s">
        <v>100</v>
      </c>
      <c r="K50" s="218" t="s">
        <v>159</v>
      </c>
      <c r="L50" s="218" t="s">
        <v>160</v>
      </c>
      <c r="M50" s="218"/>
      <c r="N50" s="218"/>
    </row>
    <row r="51" spans="1:14">
      <c r="A51" s="217">
        <v>45699</v>
      </c>
      <c r="B51" s="218" t="s">
        <v>642</v>
      </c>
      <c r="C51" s="218" t="s">
        <v>130</v>
      </c>
      <c r="D51" s="218" t="s">
        <v>120</v>
      </c>
      <c r="E51" s="218">
        <v>30000</v>
      </c>
      <c r="F51" s="219">
        <f t="shared" si="1"/>
        <v>50.319275804982617</v>
      </c>
      <c r="G51" s="218">
        <v>596.19299999999998</v>
      </c>
      <c r="H51" s="77" t="s">
        <v>162</v>
      </c>
      <c r="I51" s="77" t="s">
        <v>643</v>
      </c>
      <c r="J51" s="218" t="s">
        <v>100</v>
      </c>
      <c r="K51" s="218" t="s">
        <v>159</v>
      </c>
      <c r="L51" s="218" t="s">
        <v>160</v>
      </c>
      <c r="M51" s="218"/>
      <c r="N51" s="218"/>
    </row>
    <row r="52" spans="1:14">
      <c r="A52" s="217">
        <v>45699</v>
      </c>
      <c r="B52" s="218" t="s">
        <v>644</v>
      </c>
      <c r="C52" s="218" t="s">
        <v>130</v>
      </c>
      <c r="D52" s="218" t="s">
        <v>120</v>
      </c>
      <c r="E52" s="218">
        <v>30000</v>
      </c>
      <c r="F52" s="219">
        <f t="shared" si="1"/>
        <v>50.319275804982617</v>
      </c>
      <c r="G52" s="218">
        <v>596.19299999999998</v>
      </c>
      <c r="H52" s="77" t="s">
        <v>162</v>
      </c>
      <c r="I52" s="77" t="s">
        <v>645</v>
      </c>
      <c r="J52" s="218" t="s">
        <v>100</v>
      </c>
      <c r="K52" s="218" t="s">
        <v>159</v>
      </c>
      <c r="L52" s="218" t="s">
        <v>160</v>
      </c>
      <c r="M52" s="218"/>
      <c r="N52" s="218"/>
    </row>
    <row r="53" spans="1:14">
      <c r="A53" s="217">
        <v>45699</v>
      </c>
      <c r="B53" s="218" t="s">
        <v>646</v>
      </c>
      <c r="C53" s="218" t="s">
        <v>130</v>
      </c>
      <c r="D53" s="218" t="s">
        <v>120</v>
      </c>
      <c r="E53" s="218">
        <v>30000</v>
      </c>
      <c r="F53" s="219">
        <f t="shared" si="1"/>
        <v>50.319275804982617</v>
      </c>
      <c r="G53" s="218">
        <v>596.19299999999998</v>
      </c>
      <c r="H53" s="77" t="s">
        <v>162</v>
      </c>
      <c r="I53" s="77" t="s">
        <v>647</v>
      </c>
      <c r="J53" s="218" t="s">
        <v>100</v>
      </c>
      <c r="K53" s="218" t="s">
        <v>159</v>
      </c>
      <c r="L53" s="218" t="s">
        <v>160</v>
      </c>
      <c r="M53" s="218"/>
      <c r="N53" s="218"/>
    </row>
    <row r="54" spans="1:14">
      <c r="A54" s="217">
        <v>45699</v>
      </c>
      <c r="B54" s="218" t="s">
        <v>648</v>
      </c>
      <c r="C54" s="218" t="s">
        <v>130</v>
      </c>
      <c r="D54" s="218" t="s">
        <v>120</v>
      </c>
      <c r="E54" s="218">
        <v>30000</v>
      </c>
      <c r="F54" s="219">
        <f t="shared" si="1"/>
        <v>50.319275804982617</v>
      </c>
      <c r="G54" s="218">
        <v>596.19299999999998</v>
      </c>
      <c r="H54" s="77" t="s">
        <v>162</v>
      </c>
      <c r="I54" s="77" t="s">
        <v>649</v>
      </c>
      <c r="J54" s="218" t="s">
        <v>100</v>
      </c>
      <c r="K54" s="218" t="s">
        <v>159</v>
      </c>
      <c r="L54" s="218" t="s">
        <v>160</v>
      </c>
      <c r="M54" s="218"/>
      <c r="N54" s="218"/>
    </row>
    <row r="55" spans="1:14">
      <c r="A55" s="217">
        <v>45699</v>
      </c>
      <c r="B55" s="218" t="s">
        <v>650</v>
      </c>
      <c r="C55" s="218" t="s">
        <v>130</v>
      </c>
      <c r="D55" s="218" t="s">
        <v>123</v>
      </c>
      <c r="E55" s="218">
        <v>30000</v>
      </c>
      <c r="F55" s="219">
        <f t="shared" si="1"/>
        <v>50.319275804982617</v>
      </c>
      <c r="G55" s="218">
        <v>596.19299999999998</v>
      </c>
      <c r="H55" s="77" t="s">
        <v>162</v>
      </c>
      <c r="I55" s="77" t="s">
        <v>651</v>
      </c>
      <c r="J55" s="218" t="s">
        <v>100</v>
      </c>
      <c r="K55" s="218" t="s">
        <v>159</v>
      </c>
      <c r="L55" s="218" t="s">
        <v>160</v>
      </c>
      <c r="M55" s="218"/>
      <c r="N55" s="218"/>
    </row>
    <row r="56" spans="1:14">
      <c r="A56" s="217">
        <v>45699</v>
      </c>
      <c r="B56" s="218" t="s">
        <v>652</v>
      </c>
      <c r="C56" s="218" t="s">
        <v>272</v>
      </c>
      <c r="D56" s="218" t="s">
        <v>206</v>
      </c>
      <c r="E56" s="218">
        <v>35000</v>
      </c>
      <c r="F56" s="219">
        <f t="shared" si="1"/>
        <v>58.705821772479716</v>
      </c>
      <c r="G56" s="218">
        <v>596.19299999999998</v>
      </c>
      <c r="H56" s="77" t="s">
        <v>162</v>
      </c>
      <c r="I56" s="77" t="s">
        <v>653</v>
      </c>
      <c r="J56" s="218" t="s">
        <v>100</v>
      </c>
      <c r="K56" s="218" t="s">
        <v>159</v>
      </c>
      <c r="L56" s="218" t="s">
        <v>160</v>
      </c>
      <c r="M56" s="218"/>
      <c r="N56" s="218"/>
    </row>
    <row r="57" spans="1:14">
      <c r="A57" s="217">
        <v>45699</v>
      </c>
      <c r="B57" s="218" t="s">
        <v>654</v>
      </c>
      <c r="C57" s="218" t="s">
        <v>272</v>
      </c>
      <c r="D57" s="218" t="s">
        <v>206</v>
      </c>
      <c r="E57" s="218">
        <v>30000</v>
      </c>
      <c r="F57" s="219">
        <f t="shared" si="1"/>
        <v>50.319275804982617</v>
      </c>
      <c r="G57" s="218">
        <v>596.19299999999998</v>
      </c>
      <c r="H57" s="77" t="s">
        <v>162</v>
      </c>
      <c r="I57" s="77" t="s">
        <v>655</v>
      </c>
      <c r="J57" s="218" t="s">
        <v>100</v>
      </c>
      <c r="K57" s="218" t="s">
        <v>159</v>
      </c>
      <c r="L57" s="218" t="s">
        <v>160</v>
      </c>
      <c r="M57" s="218"/>
      <c r="N57" s="218"/>
    </row>
    <row r="58" spans="1:14">
      <c r="A58" s="217">
        <v>45699</v>
      </c>
      <c r="B58" s="218" t="s">
        <v>656</v>
      </c>
      <c r="C58" s="218" t="s">
        <v>272</v>
      </c>
      <c r="D58" s="218" t="s">
        <v>206</v>
      </c>
      <c r="E58" s="218">
        <v>30000</v>
      </c>
      <c r="F58" s="219">
        <f t="shared" si="1"/>
        <v>50.319275804982617</v>
      </c>
      <c r="G58" s="218">
        <v>596.19299999999998</v>
      </c>
      <c r="H58" s="77" t="s">
        <v>162</v>
      </c>
      <c r="I58" s="77" t="s">
        <v>657</v>
      </c>
      <c r="J58" s="218" t="s">
        <v>100</v>
      </c>
      <c r="K58" s="218" t="s">
        <v>159</v>
      </c>
      <c r="L58" s="218" t="s">
        <v>160</v>
      </c>
      <c r="M58" s="218"/>
      <c r="N58" s="218"/>
    </row>
    <row r="59" spans="1:14">
      <c r="A59" s="217">
        <v>45699</v>
      </c>
      <c r="B59" s="218" t="s">
        <v>658</v>
      </c>
      <c r="C59" s="218" t="s">
        <v>272</v>
      </c>
      <c r="D59" s="218" t="s">
        <v>206</v>
      </c>
      <c r="E59" s="218">
        <v>30000</v>
      </c>
      <c r="F59" s="219">
        <f t="shared" si="1"/>
        <v>50.319275804982617</v>
      </c>
      <c r="G59" s="218">
        <v>596.19299999999998</v>
      </c>
      <c r="H59" s="77" t="s">
        <v>162</v>
      </c>
      <c r="I59" s="77" t="s">
        <v>659</v>
      </c>
      <c r="J59" s="218" t="s">
        <v>100</v>
      </c>
      <c r="K59" s="218" t="s">
        <v>159</v>
      </c>
      <c r="L59" s="218" t="s">
        <v>160</v>
      </c>
      <c r="M59" s="218"/>
      <c r="N59" s="218"/>
    </row>
    <row r="60" spans="1:14">
      <c r="A60" s="217">
        <v>45699</v>
      </c>
      <c r="B60" s="218" t="s">
        <v>988</v>
      </c>
      <c r="C60" s="218" t="s">
        <v>469</v>
      </c>
      <c r="D60" s="218" t="s">
        <v>124</v>
      </c>
      <c r="E60" s="218">
        <v>45000</v>
      </c>
      <c r="F60" s="219">
        <f t="shared" si="1"/>
        <v>75.478913707473922</v>
      </c>
      <c r="G60" s="218">
        <v>596.19299999999998</v>
      </c>
      <c r="H60" s="77" t="s">
        <v>333</v>
      </c>
      <c r="I60" s="77" t="s">
        <v>867</v>
      </c>
      <c r="J60" s="218" t="s">
        <v>100</v>
      </c>
      <c r="K60" s="218" t="s">
        <v>159</v>
      </c>
      <c r="L60" s="218" t="s">
        <v>160</v>
      </c>
      <c r="M60" s="218"/>
      <c r="N60" s="218"/>
    </row>
    <row r="61" spans="1:14">
      <c r="A61" s="217">
        <v>45699</v>
      </c>
      <c r="B61" s="218" t="s">
        <v>985</v>
      </c>
      <c r="C61" s="218" t="s">
        <v>179</v>
      </c>
      <c r="D61" s="218" t="s">
        <v>124</v>
      </c>
      <c r="E61" s="218">
        <v>4000</v>
      </c>
      <c r="F61" s="219">
        <f t="shared" si="1"/>
        <v>6.7092367739976817</v>
      </c>
      <c r="G61" s="218">
        <v>596.19299999999998</v>
      </c>
      <c r="H61" s="77" t="s">
        <v>333</v>
      </c>
      <c r="I61" s="77" t="s">
        <v>868</v>
      </c>
      <c r="J61" s="218" t="s">
        <v>100</v>
      </c>
      <c r="K61" s="218" t="s">
        <v>159</v>
      </c>
      <c r="L61" s="218" t="s">
        <v>160</v>
      </c>
      <c r="M61" s="218"/>
      <c r="N61" s="218"/>
    </row>
    <row r="62" spans="1:14">
      <c r="A62" s="217">
        <v>45699</v>
      </c>
      <c r="B62" s="218" t="s">
        <v>985</v>
      </c>
      <c r="C62" s="218" t="s">
        <v>179</v>
      </c>
      <c r="D62" s="218" t="s">
        <v>124</v>
      </c>
      <c r="E62" s="218">
        <v>3000</v>
      </c>
      <c r="F62" s="219">
        <f t="shared" si="1"/>
        <v>4.8874119492008914</v>
      </c>
      <c r="G62" s="220">
        <v>613.82180000000005</v>
      </c>
      <c r="H62" s="77" t="s">
        <v>333</v>
      </c>
      <c r="I62" s="77" t="s">
        <v>869</v>
      </c>
      <c r="J62" s="218" t="s">
        <v>100</v>
      </c>
      <c r="K62" s="218" t="s">
        <v>451</v>
      </c>
      <c r="L62" s="218" t="s">
        <v>160</v>
      </c>
      <c r="M62" s="218"/>
      <c r="N62" s="218"/>
    </row>
    <row r="63" spans="1:14">
      <c r="A63" s="217">
        <v>45699</v>
      </c>
      <c r="B63" s="218" t="s">
        <v>557</v>
      </c>
      <c r="C63" s="218" t="s">
        <v>179</v>
      </c>
      <c r="D63" s="218" t="s">
        <v>120</v>
      </c>
      <c r="E63" s="218">
        <v>7000</v>
      </c>
      <c r="F63" s="219">
        <f t="shared" si="1"/>
        <v>11.403961214802081</v>
      </c>
      <c r="G63" s="220">
        <v>613.82180000000005</v>
      </c>
      <c r="H63" s="77" t="s">
        <v>196</v>
      </c>
      <c r="I63" s="77" t="s">
        <v>558</v>
      </c>
      <c r="J63" s="218" t="s">
        <v>100</v>
      </c>
      <c r="K63" s="218" t="s">
        <v>451</v>
      </c>
      <c r="L63" s="218" t="s">
        <v>160</v>
      </c>
      <c r="M63" s="218"/>
      <c r="N63" s="218"/>
    </row>
    <row r="64" spans="1:14">
      <c r="A64" s="217">
        <v>45699</v>
      </c>
      <c r="B64" s="218" t="s">
        <v>559</v>
      </c>
      <c r="C64" s="218" t="s">
        <v>263</v>
      </c>
      <c r="D64" s="218" t="s">
        <v>120</v>
      </c>
      <c r="E64" s="218">
        <v>70000</v>
      </c>
      <c r="F64" s="219">
        <f t="shared" si="1"/>
        <v>117.41164354495943</v>
      </c>
      <c r="G64" s="218">
        <v>596.19299999999998</v>
      </c>
      <c r="H64" s="77" t="s">
        <v>196</v>
      </c>
      <c r="I64" s="77" t="s">
        <v>560</v>
      </c>
      <c r="J64" s="218" t="s">
        <v>100</v>
      </c>
      <c r="K64" s="218" t="s">
        <v>159</v>
      </c>
      <c r="L64" s="218" t="s">
        <v>160</v>
      </c>
      <c r="M64" s="218"/>
      <c r="N64" s="218"/>
    </row>
    <row r="65" spans="1:14">
      <c r="A65" s="217">
        <v>45699</v>
      </c>
      <c r="B65" s="218" t="s">
        <v>515</v>
      </c>
      <c r="C65" s="218" t="s">
        <v>263</v>
      </c>
      <c r="D65" s="218" t="s">
        <v>120</v>
      </c>
      <c r="E65" s="218">
        <v>200000</v>
      </c>
      <c r="F65" s="219">
        <f t="shared" si="1"/>
        <v>335.46183869988408</v>
      </c>
      <c r="G65" s="218">
        <v>596.19299999999998</v>
      </c>
      <c r="H65" s="77" t="s">
        <v>152</v>
      </c>
      <c r="I65" s="77" t="s">
        <v>516</v>
      </c>
      <c r="J65" s="218" t="s">
        <v>100</v>
      </c>
      <c r="K65" s="218" t="s">
        <v>159</v>
      </c>
      <c r="L65" s="218" t="s">
        <v>160</v>
      </c>
      <c r="M65" s="218"/>
      <c r="N65" s="218"/>
    </row>
    <row r="66" spans="1:14">
      <c r="A66" s="217">
        <v>45699</v>
      </c>
      <c r="B66" s="218" t="s">
        <v>638</v>
      </c>
      <c r="C66" s="218" t="s">
        <v>188</v>
      </c>
      <c r="D66" s="218" t="s">
        <v>121</v>
      </c>
      <c r="E66" s="218">
        <v>6720</v>
      </c>
      <c r="F66" s="219">
        <f t="shared" ref="F66:F97" si="2">E66/G66</f>
        <v>11.271517780316106</v>
      </c>
      <c r="G66" s="218">
        <v>596.19299999999998</v>
      </c>
      <c r="H66" s="77" t="s">
        <v>199</v>
      </c>
      <c r="I66" s="77" t="s">
        <v>639</v>
      </c>
      <c r="J66" s="218" t="s">
        <v>100</v>
      </c>
      <c r="K66" s="218" t="s">
        <v>159</v>
      </c>
      <c r="L66" s="218" t="s">
        <v>160</v>
      </c>
      <c r="M66" s="218"/>
      <c r="N66" s="218"/>
    </row>
    <row r="67" spans="1:14">
      <c r="A67" s="217">
        <v>45700</v>
      </c>
      <c r="B67" s="218" t="s">
        <v>996</v>
      </c>
      <c r="C67" s="218" t="s">
        <v>183</v>
      </c>
      <c r="D67" s="218" t="s">
        <v>124</v>
      </c>
      <c r="E67" s="218">
        <v>45000</v>
      </c>
      <c r="F67" s="219">
        <f t="shared" si="2"/>
        <v>75.478913707473922</v>
      </c>
      <c r="G67" s="218">
        <v>596.19299999999998</v>
      </c>
      <c r="H67" s="77" t="s">
        <v>327</v>
      </c>
      <c r="I67" s="77" t="s">
        <v>945</v>
      </c>
      <c r="J67" s="218" t="s">
        <v>100</v>
      </c>
      <c r="K67" s="218" t="s">
        <v>159</v>
      </c>
      <c r="L67" s="218" t="s">
        <v>160</v>
      </c>
      <c r="M67" s="218"/>
      <c r="N67" s="218"/>
    </row>
    <row r="68" spans="1:14">
      <c r="A68" s="217">
        <v>45700</v>
      </c>
      <c r="B68" s="218" t="s">
        <v>989</v>
      </c>
      <c r="C68" s="218" t="s">
        <v>179</v>
      </c>
      <c r="D68" s="218" t="s">
        <v>124</v>
      </c>
      <c r="E68" s="218">
        <v>7000</v>
      </c>
      <c r="F68" s="219">
        <f t="shared" si="2"/>
        <v>11.741164354495943</v>
      </c>
      <c r="G68" s="218">
        <v>596.19299999999998</v>
      </c>
      <c r="H68" s="77" t="s">
        <v>327</v>
      </c>
      <c r="I68" s="77" t="s">
        <v>945</v>
      </c>
      <c r="J68" s="218" t="s">
        <v>100</v>
      </c>
      <c r="K68" s="218" t="s">
        <v>159</v>
      </c>
      <c r="L68" s="218" t="s">
        <v>160</v>
      </c>
      <c r="M68" s="218"/>
      <c r="N68" s="218"/>
    </row>
    <row r="69" spans="1:14">
      <c r="A69" s="217">
        <v>45700</v>
      </c>
      <c r="B69" s="218" t="s">
        <v>561</v>
      </c>
      <c r="C69" s="218" t="s">
        <v>469</v>
      </c>
      <c r="D69" s="218" t="s">
        <v>120</v>
      </c>
      <c r="E69" s="218">
        <v>170000</v>
      </c>
      <c r="F69" s="219">
        <f t="shared" si="2"/>
        <v>285.14256289490152</v>
      </c>
      <c r="G69" s="218">
        <v>596.19299999999998</v>
      </c>
      <c r="H69" s="77" t="s">
        <v>196</v>
      </c>
      <c r="I69" s="77" t="s">
        <v>562</v>
      </c>
      <c r="J69" s="218" t="s">
        <v>100</v>
      </c>
      <c r="K69" s="218" t="s">
        <v>159</v>
      </c>
      <c r="L69" s="218" t="s">
        <v>160</v>
      </c>
      <c r="M69" s="218"/>
      <c r="N69" s="218"/>
    </row>
    <row r="70" spans="1:14">
      <c r="A70" s="217">
        <v>45700</v>
      </c>
      <c r="B70" s="218" t="s">
        <v>909</v>
      </c>
      <c r="C70" s="218" t="s">
        <v>179</v>
      </c>
      <c r="D70" s="218" t="s">
        <v>120</v>
      </c>
      <c r="E70" s="218">
        <v>8000</v>
      </c>
      <c r="F70" s="219">
        <f t="shared" si="2"/>
        <v>13.418473547995363</v>
      </c>
      <c r="G70" s="218">
        <v>596.19299999999998</v>
      </c>
      <c r="H70" s="77" t="s">
        <v>199</v>
      </c>
      <c r="I70" s="77" t="s">
        <v>910</v>
      </c>
      <c r="J70" s="218" t="s">
        <v>100</v>
      </c>
      <c r="K70" s="218" t="s">
        <v>159</v>
      </c>
      <c r="L70" s="218" t="s">
        <v>160</v>
      </c>
      <c r="M70" s="218"/>
      <c r="N70" s="218"/>
    </row>
    <row r="71" spans="1:14">
      <c r="A71" s="217">
        <v>45700</v>
      </c>
      <c r="B71" s="218" t="s">
        <v>198</v>
      </c>
      <c r="C71" s="218" t="s">
        <v>188</v>
      </c>
      <c r="D71" s="218" t="s">
        <v>121</v>
      </c>
      <c r="E71" s="218">
        <v>1980</v>
      </c>
      <c r="F71" s="219">
        <f t="shared" si="2"/>
        <v>3.3210722031288529</v>
      </c>
      <c r="G71" s="218">
        <v>596.19299999999998</v>
      </c>
      <c r="H71" s="77" t="s">
        <v>199</v>
      </c>
      <c r="I71" s="77" t="s">
        <v>663</v>
      </c>
      <c r="J71" s="218" t="s">
        <v>100</v>
      </c>
      <c r="K71" s="218" t="s">
        <v>159</v>
      </c>
      <c r="L71" s="218" t="s">
        <v>160</v>
      </c>
      <c r="M71" s="218"/>
      <c r="N71" s="218"/>
    </row>
    <row r="72" spans="1:14">
      <c r="A72" s="217">
        <v>45700</v>
      </c>
      <c r="B72" s="218" t="s">
        <v>665</v>
      </c>
      <c r="C72" s="218" t="s">
        <v>263</v>
      </c>
      <c r="D72" s="218" t="s">
        <v>120</v>
      </c>
      <c r="E72" s="218">
        <v>80000</v>
      </c>
      <c r="F72" s="219">
        <f t="shared" si="2"/>
        <v>134.18473547995364</v>
      </c>
      <c r="G72" s="218">
        <v>596.19299999999998</v>
      </c>
      <c r="H72" s="77" t="s">
        <v>199</v>
      </c>
      <c r="I72" s="77" t="s">
        <v>666</v>
      </c>
      <c r="J72" s="218" t="s">
        <v>100</v>
      </c>
      <c r="K72" s="218" t="s">
        <v>159</v>
      </c>
      <c r="L72" s="218" t="s">
        <v>160</v>
      </c>
      <c r="M72" s="218"/>
      <c r="N72" s="218"/>
    </row>
    <row r="73" spans="1:14">
      <c r="A73" s="217">
        <v>45701</v>
      </c>
      <c r="B73" s="218" t="s">
        <v>972</v>
      </c>
      <c r="C73" s="218" t="s">
        <v>130</v>
      </c>
      <c r="D73" s="218" t="s">
        <v>122</v>
      </c>
      <c r="E73" s="218">
        <v>129464</v>
      </c>
      <c r="F73" s="219">
        <f t="shared" si="2"/>
        <v>217.15115742720897</v>
      </c>
      <c r="G73" s="218">
        <v>596.19299999999998</v>
      </c>
      <c r="H73" s="77" t="s">
        <v>162</v>
      </c>
      <c r="I73" s="77" t="s">
        <v>668</v>
      </c>
      <c r="J73" s="218" t="s">
        <v>100</v>
      </c>
      <c r="K73" s="218" t="s">
        <v>159</v>
      </c>
      <c r="L73" s="218" t="s">
        <v>160</v>
      </c>
      <c r="M73" s="218"/>
      <c r="N73" s="218"/>
    </row>
    <row r="74" spans="1:14">
      <c r="A74" s="217">
        <v>45701</v>
      </c>
      <c r="B74" s="218" t="s">
        <v>977</v>
      </c>
      <c r="C74" s="218" t="s">
        <v>130</v>
      </c>
      <c r="D74" s="218" t="s">
        <v>122</v>
      </c>
      <c r="E74" s="218">
        <v>80500</v>
      </c>
      <c r="F74" s="219">
        <f t="shared" si="2"/>
        <v>135.02339007670335</v>
      </c>
      <c r="G74" s="218">
        <v>596.19299999999998</v>
      </c>
      <c r="H74" s="77" t="s">
        <v>162</v>
      </c>
      <c r="I74" s="77" t="s">
        <v>669</v>
      </c>
      <c r="J74" s="218" t="s">
        <v>100</v>
      </c>
      <c r="K74" s="218" t="s">
        <v>159</v>
      </c>
      <c r="L74" s="218" t="s">
        <v>160</v>
      </c>
      <c r="M74" s="218"/>
      <c r="N74" s="218"/>
    </row>
    <row r="75" spans="1:14">
      <c r="A75" s="217">
        <v>45701</v>
      </c>
      <c r="B75" s="218" t="s">
        <v>986</v>
      </c>
      <c r="C75" s="218" t="s">
        <v>469</v>
      </c>
      <c r="D75" s="218" t="s">
        <v>124</v>
      </c>
      <c r="E75" s="218">
        <v>30000</v>
      </c>
      <c r="F75" s="219">
        <f t="shared" si="2"/>
        <v>50.319275804982617</v>
      </c>
      <c r="G75" s="218">
        <v>596.19299999999998</v>
      </c>
      <c r="H75" s="77" t="s">
        <v>333</v>
      </c>
      <c r="I75" s="77" t="s">
        <v>870</v>
      </c>
      <c r="J75" s="218" t="s">
        <v>100</v>
      </c>
      <c r="K75" s="218" t="s">
        <v>159</v>
      </c>
      <c r="L75" s="218" t="s">
        <v>160</v>
      </c>
      <c r="M75" s="218"/>
      <c r="N75" s="218"/>
    </row>
    <row r="76" spans="1:14">
      <c r="A76" s="217">
        <v>45701</v>
      </c>
      <c r="B76" s="218" t="s">
        <v>985</v>
      </c>
      <c r="C76" s="218" t="s">
        <v>179</v>
      </c>
      <c r="D76" s="218" t="s">
        <v>124</v>
      </c>
      <c r="E76" s="218">
        <v>3000</v>
      </c>
      <c r="F76" s="219">
        <f t="shared" si="2"/>
        <v>5.0319275804982615</v>
      </c>
      <c r="G76" s="218">
        <v>596.19299999999998</v>
      </c>
      <c r="H76" s="77" t="s">
        <v>333</v>
      </c>
      <c r="I76" s="77" t="s">
        <v>871</v>
      </c>
      <c r="J76" s="218" t="s">
        <v>100</v>
      </c>
      <c r="K76" s="218" t="s">
        <v>159</v>
      </c>
      <c r="L76" s="218" t="s">
        <v>160</v>
      </c>
      <c r="M76" s="218"/>
      <c r="N76" s="218"/>
    </row>
    <row r="77" spans="1:14">
      <c r="A77" s="217">
        <v>45701</v>
      </c>
      <c r="B77" s="218" t="s">
        <v>911</v>
      </c>
      <c r="C77" s="218" t="s">
        <v>183</v>
      </c>
      <c r="D77" s="218" t="s">
        <v>120</v>
      </c>
      <c r="E77" s="218">
        <v>20000</v>
      </c>
      <c r="F77" s="219">
        <f t="shared" si="2"/>
        <v>32.582746328005946</v>
      </c>
      <c r="G77" s="220">
        <v>613.82180000000005</v>
      </c>
      <c r="H77" s="77" t="s">
        <v>199</v>
      </c>
      <c r="I77" s="77" t="s">
        <v>912</v>
      </c>
      <c r="J77" s="218" t="s">
        <v>100</v>
      </c>
      <c r="K77" s="218" t="s">
        <v>451</v>
      </c>
      <c r="L77" s="218" t="s">
        <v>160</v>
      </c>
      <c r="M77" s="218"/>
      <c r="N77" s="218"/>
    </row>
    <row r="78" spans="1:14">
      <c r="A78" s="217">
        <v>45701</v>
      </c>
      <c r="B78" s="218" t="s">
        <v>551</v>
      </c>
      <c r="C78" s="218" t="s">
        <v>325</v>
      </c>
      <c r="D78" s="218" t="s">
        <v>123</v>
      </c>
      <c r="E78" s="218">
        <v>154000</v>
      </c>
      <c r="F78" s="219">
        <f t="shared" si="2"/>
        <v>250.88714672564575</v>
      </c>
      <c r="G78" s="220">
        <v>613.82180000000005</v>
      </c>
      <c r="H78" s="77" t="s">
        <v>220</v>
      </c>
      <c r="I78" s="77" t="s">
        <v>552</v>
      </c>
      <c r="J78" s="218" t="s">
        <v>100</v>
      </c>
      <c r="K78" s="218" t="s">
        <v>451</v>
      </c>
      <c r="L78" s="218" t="s">
        <v>160</v>
      </c>
      <c r="M78" s="218"/>
      <c r="N78" s="218"/>
    </row>
    <row r="79" spans="1:14">
      <c r="A79" s="217">
        <v>45701</v>
      </c>
      <c r="B79" s="218" t="s">
        <v>519</v>
      </c>
      <c r="C79" s="218" t="s">
        <v>312</v>
      </c>
      <c r="D79" s="218" t="s">
        <v>121</v>
      </c>
      <c r="E79" s="218">
        <v>227686</v>
      </c>
      <c r="F79" s="219">
        <f t="shared" si="2"/>
        <v>381.89982103110907</v>
      </c>
      <c r="G79" s="218">
        <v>596.19299999999998</v>
      </c>
      <c r="H79" s="77" t="s">
        <v>152</v>
      </c>
      <c r="I79" s="77" t="s">
        <v>520</v>
      </c>
      <c r="J79" s="218" t="s">
        <v>100</v>
      </c>
      <c r="K79" s="218" t="s">
        <v>159</v>
      </c>
      <c r="L79" s="218" t="s">
        <v>160</v>
      </c>
      <c r="M79" s="218"/>
      <c r="N79" s="218"/>
    </row>
    <row r="80" spans="1:14">
      <c r="A80" s="217">
        <v>45701</v>
      </c>
      <c r="B80" s="218" t="s">
        <v>913</v>
      </c>
      <c r="C80" s="218" t="s">
        <v>179</v>
      </c>
      <c r="D80" s="218" t="s">
        <v>120</v>
      </c>
      <c r="E80" s="218">
        <v>4000</v>
      </c>
      <c r="F80" s="219">
        <f t="shared" si="2"/>
        <v>6.7092367739976817</v>
      </c>
      <c r="G80" s="218">
        <v>596.19299999999998</v>
      </c>
      <c r="H80" s="77" t="s">
        <v>199</v>
      </c>
      <c r="I80" s="77" t="s">
        <v>914</v>
      </c>
      <c r="J80" s="218" t="s">
        <v>100</v>
      </c>
      <c r="K80" s="218" t="s">
        <v>159</v>
      </c>
      <c r="L80" s="218" t="s">
        <v>160</v>
      </c>
      <c r="M80" s="218"/>
      <c r="N80" s="218"/>
    </row>
    <row r="81" spans="1:14">
      <c r="A81" s="217">
        <v>45702</v>
      </c>
      <c r="B81" s="218" t="s">
        <v>975</v>
      </c>
      <c r="C81" s="218" t="s">
        <v>379</v>
      </c>
      <c r="D81" s="218" t="s">
        <v>124</v>
      </c>
      <c r="E81" s="218">
        <v>30000</v>
      </c>
      <c r="F81" s="219">
        <f t="shared" si="2"/>
        <v>50.319275804982617</v>
      </c>
      <c r="G81" s="218">
        <v>596.19299999999998</v>
      </c>
      <c r="H81" s="77" t="s">
        <v>157</v>
      </c>
      <c r="I81" s="77" t="s">
        <v>779</v>
      </c>
      <c r="J81" s="218" t="s">
        <v>100</v>
      </c>
      <c r="K81" s="218" t="s">
        <v>159</v>
      </c>
      <c r="L81" s="218" t="s">
        <v>160</v>
      </c>
      <c r="M81" s="218"/>
      <c r="N81" s="218"/>
    </row>
    <row r="82" spans="1:14">
      <c r="A82" s="217">
        <v>45702</v>
      </c>
      <c r="B82" s="218" t="s">
        <v>780</v>
      </c>
      <c r="C82" s="218" t="s">
        <v>188</v>
      </c>
      <c r="D82" s="218" t="s">
        <v>121</v>
      </c>
      <c r="E82" s="218">
        <v>1952</v>
      </c>
      <c r="F82" s="219">
        <f t="shared" si="2"/>
        <v>3.2741075457108688</v>
      </c>
      <c r="G82" s="218">
        <v>596.19299999999998</v>
      </c>
      <c r="H82" s="77" t="s">
        <v>157</v>
      </c>
      <c r="I82" s="77" t="s">
        <v>781</v>
      </c>
      <c r="J82" s="218" t="s">
        <v>100</v>
      </c>
      <c r="K82" s="218" t="s">
        <v>159</v>
      </c>
      <c r="L82" s="218" t="s">
        <v>160</v>
      </c>
      <c r="M82" s="218"/>
      <c r="N82" s="218"/>
    </row>
    <row r="83" spans="1:14">
      <c r="A83" s="217">
        <v>45702</v>
      </c>
      <c r="B83" s="218" t="s">
        <v>970</v>
      </c>
      <c r="C83" s="218" t="s">
        <v>179</v>
      </c>
      <c r="D83" s="218" t="s">
        <v>122</v>
      </c>
      <c r="E83" s="218">
        <v>7000</v>
      </c>
      <c r="F83" s="219">
        <f t="shared" si="2"/>
        <v>11.403961214802081</v>
      </c>
      <c r="G83" s="220">
        <v>613.82180000000005</v>
      </c>
      <c r="H83" s="77" t="s">
        <v>157</v>
      </c>
      <c r="I83" s="77" t="s">
        <v>785</v>
      </c>
      <c r="J83" s="218" t="s">
        <v>100</v>
      </c>
      <c r="K83" s="218" t="s">
        <v>451</v>
      </c>
      <c r="L83" s="218" t="s">
        <v>160</v>
      </c>
      <c r="M83" s="218"/>
      <c r="N83" s="218"/>
    </row>
    <row r="84" spans="1:14">
      <c r="A84" s="217">
        <v>45702</v>
      </c>
      <c r="B84" s="218" t="s">
        <v>205</v>
      </c>
      <c r="C84" s="218" t="s">
        <v>179</v>
      </c>
      <c r="D84" s="218" t="s">
        <v>120</v>
      </c>
      <c r="E84" s="218">
        <v>7000</v>
      </c>
      <c r="F84" s="219">
        <f t="shared" si="2"/>
        <v>11.403961214802081</v>
      </c>
      <c r="G84" s="220">
        <v>613.82180000000005</v>
      </c>
      <c r="H84" s="77" t="s">
        <v>207</v>
      </c>
      <c r="I84" s="77" t="s">
        <v>599</v>
      </c>
      <c r="J84" s="218" t="s">
        <v>100</v>
      </c>
      <c r="K84" s="218" t="s">
        <v>451</v>
      </c>
      <c r="L84" s="218" t="s">
        <v>160</v>
      </c>
      <c r="M84" s="218"/>
      <c r="N84" s="218"/>
    </row>
    <row r="85" spans="1:14">
      <c r="A85" s="217">
        <v>45702</v>
      </c>
      <c r="B85" s="218" t="s">
        <v>683</v>
      </c>
      <c r="C85" s="218" t="s">
        <v>156</v>
      </c>
      <c r="D85" s="218" t="s">
        <v>122</v>
      </c>
      <c r="E85" s="218">
        <v>30000</v>
      </c>
      <c r="F85" s="219">
        <f t="shared" si="2"/>
        <v>48.874119492008916</v>
      </c>
      <c r="G85" s="220">
        <v>613.82180000000005</v>
      </c>
      <c r="H85" s="77" t="s">
        <v>162</v>
      </c>
      <c r="I85" s="77" t="s">
        <v>684</v>
      </c>
      <c r="J85" s="218" t="s">
        <v>100</v>
      </c>
      <c r="K85" s="218" t="s">
        <v>451</v>
      </c>
      <c r="L85" s="218" t="s">
        <v>160</v>
      </c>
      <c r="M85" s="218"/>
      <c r="N85" s="218"/>
    </row>
    <row r="86" spans="1:14">
      <c r="A86" s="217">
        <v>45702</v>
      </c>
      <c r="B86" s="218" t="s">
        <v>685</v>
      </c>
      <c r="C86" s="218" t="s">
        <v>156</v>
      </c>
      <c r="D86" s="218" t="s">
        <v>120</v>
      </c>
      <c r="E86" s="218">
        <v>30000</v>
      </c>
      <c r="F86" s="219">
        <f t="shared" si="2"/>
        <v>48.874119492008916</v>
      </c>
      <c r="G86" s="220">
        <v>613.82180000000005</v>
      </c>
      <c r="H86" s="77" t="s">
        <v>162</v>
      </c>
      <c r="I86" s="77" t="s">
        <v>686</v>
      </c>
      <c r="J86" s="218" t="s">
        <v>100</v>
      </c>
      <c r="K86" s="218" t="s">
        <v>451</v>
      </c>
      <c r="L86" s="218" t="s">
        <v>160</v>
      </c>
      <c r="M86" s="218"/>
      <c r="N86" s="218"/>
    </row>
    <row r="87" spans="1:14">
      <c r="A87" s="217">
        <v>45702</v>
      </c>
      <c r="B87" s="218" t="s">
        <v>687</v>
      </c>
      <c r="C87" s="218" t="s">
        <v>156</v>
      </c>
      <c r="D87" s="218" t="s">
        <v>124</v>
      </c>
      <c r="E87" s="218">
        <v>55000</v>
      </c>
      <c r="F87" s="219">
        <f t="shared" si="2"/>
        <v>94.950186542589222</v>
      </c>
      <c r="G87" s="220">
        <v>579.25109999999995</v>
      </c>
      <c r="H87" s="77" t="s">
        <v>162</v>
      </c>
      <c r="I87" s="77" t="s">
        <v>688</v>
      </c>
      <c r="J87" s="218" t="s">
        <v>100</v>
      </c>
      <c r="K87" s="218" t="s">
        <v>209</v>
      </c>
      <c r="L87" s="218" t="s">
        <v>160</v>
      </c>
      <c r="M87" s="218"/>
      <c r="N87" s="218"/>
    </row>
    <row r="88" spans="1:14">
      <c r="A88" s="217">
        <v>45702</v>
      </c>
      <c r="B88" s="218" t="s">
        <v>689</v>
      </c>
      <c r="C88" s="218" t="s">
        <v>156</v>
      </c>
      <c r="D88" s="218" t="s">
        <v>123</v>
      </c>
      <c r="E88" s="218">
        <v>10000</v>
      </c>
      <c r="F88" s="219">
        <f t="shared" si="2"/>
        <v>16.291373164002973</v>
      </c>
      <c r="G88" s="220">
        <v>613.82180000000005</v>
      </c>
      <c r="H88" s="77" t="s">
        <v>162</v>
      </c>
      <c r="I88" s="77" t="s">
        <v>690</v>
      </c>
      <c r="J88" s="218" t="s">
        <v>100</v>
      </c>
      <c r="K88" s="218" t="s">
        <v>451</v>
      </c>
      <c r="L88" s="218" t="s">
        <v>160</v>
      </c>
      <c r="M88" s="218"/>
      <c r="N88" s="218"/>
    </row>
    <row r="89" spans="1:14">
      <c r="A89" s="217">
        <v>45702</v>
      </c>
      <c r="B89" s="218" t="s">
        <v>692</v>
      </c>
      <c r="C89" s="218" t="s">
        <v>156</v>
      </c>
      <c r="D89" s="218" t="s">
        <v>120</v>
      </c>
      <c r="E89" s="218">
        <v>10000</v>
      </c>
      <c r="F89" s="219">
        <f t="shared" si="2"/>
        <v>16.291373164002973</v>
      </c>
      <c r="G89" s="220">
        <v>613.82180000000005</v>
      </c>
      <c r="H89" s="77" t="s">
        <v>162</v>
      </c>
      <c r="I89" s="77" t="s">
        <v>691</v>
      </c>
      <c r="J89" s="218" t="s">
        <v>100</v>
      </c>
      <c r="K89" s="218" t="s">
        <v>451</v>
      </c>
      <c r="L89" s="218" t="s">
        <v>160</v>
      </c>
      <c r="M89" s="218"/>
      <c r="N89" s="218"/>
    </row>
    <row r="90" spans="1:14">
      <c r="A90" s="217">
        <v>45702</v>
      </c>
      <c r="B90" s="218" t="s">
        <v>973</v>
      </c>
      <c r="C90" s="218" t="s">
        <v>156</v>
      </c>
      <c r="D90" s="218" t="s">
        <v>124</v>
      </c>
      <c r="E90" s="218">
        <v>5000</v>
      </c>
      <c r="F90" s="219">
        <f t="shared" si="2"/>
        <v>8.1456865820014865</v>
      </c>
      <c r="G90" s="220">
        <v>613.82180000000005</v>
      </c>
      <c r="H90" s="77" t="s">
        <v>162</v>
      </c>
      <c r="I90" s="77" t="s">
        <v>693</v>
      </c>
      <c r="J90" s="218" t="s">
        <v>100</v>
      </c>
      <c r="K90" s="218" t="s">
        <v>451</v>
      </c>
      <c r="L90" s="218" t="s">
        <v>160</v>
      </c>
      <c r="M90" s="218"/>
      <c r="N90" s="218"/>
    </row>
    <row r="91" spans="1:14">
      <c r="A91" s="217">
        <v>45702</v>
      </c>
      <c r="B91" s="218" t="s">
        <v>681</v>
      </c>
      <c r="C91" s="218" t="s">
        <v>188</v>
      </c>
      <c r="D91" s="218" t="s">
        <v>121</v>
      </c>
      <c r="E91" s="218">
        <v>11310</v>
      </c>
      <c r="F91" s="219">
        <f t="shared" si="2"/>
        <v>18.425543048487359</v>
      </c>
      <c r="G91" s="220">
        <v>613.82180000000005</v>
      </c>
      <c r="H91" s="77" t="s">
        <v>671</v>
      </c>
      <c r="I91" s="77" t="s">
        <v>682</v>
      </c>
      <c r="J91" s="218" t="s">
        <v>100</v>
      </c>
      <c r="K91" s="218" t="s">
        <v>451</v>
      </c>
      <c r="L91" s="218" t="s">
        <v>160</v>
      </c>
      <c r="M91" s="218"/>
      <c r="N91" s="218"/>
    </row>
    <row r="92" spans="1:14">
      <c r="A92" s="217">
        <v>45702</v>
      </c>
      <c r="B92" s="218" t="s">
        <v>872</v>
      </c>
      <c r="C92" s="218" t="s">
        <v>379</v>
      </c>
      <c r="D92" s="218" t="s">
        <v>124</v>
      </c>
      <c r="E92" s="218">
        <v>4000</v>
      </c>
      <c r="F92" s="219">
        <f t="shared" si="2"/>
        <v>6.5165492656011885</v>
      </c>
      <c r="G92" s="220">
        <v>613.82180000000005</v>
      </c>
      <c r="H92" s="77" t="s">
        <v>333</v>
      </c>
      <c r="I92" s="77" t="s">
        <v>873</v>
      </c>
      <c r="J92" s="218" t="s">
        <v>100</v>
      </c>
      <c r="K92" s="218" t="s">
        <v>451</v>
      </c>
      <c r="L92" s="218" t="s">
        <v>160</v>
      </c>
      <c r="M92" s="218"/>
      <c r="N92" s="218"/>
    </row>
    <row r="93" spans="1:14">
      <c r="A93" s="217">
        <v>45702</v>
      </c>
      <c r="B93" s="218" t="s">
        <v>985</v>
      </c>
      <c r="C93" s="218" t="s">
        <v>179</v>
      </c>
      <c r="D93" s="218" t="s">
        <v>124</v>
      </c>
      <c r="E93" s="218">
        <v>7000</v>
      </c>
      <c r="F93" s="219">
        <f t="shared" si="2"/>
        <v>11.403961214802081</v>
      </c>
      <c r="G93" s="220">
        <v>613.82180000000005</v>
      </c>
      <c r="H93" s="77" t="s">
        <v>333</v>
      </c>
      <c r="I93" s="77" t="s">
        <v>874</v>
      </c>
      <c r="J93" s="218" t="s">
        <v>100</v>
      </c>
      <c r="K93" s="218" t="s">
        <v>451</v>
      </c>
      <c r="L93" s="218" t="s">
        <v>160</v>
      </c>
      <c r="M93" s="218"/>
      <c r="N93" s="218"/>
    </row>
    <row r="94" spans="1:14">
      <c r="A94" s="217">
        <v>45702</v>
      </c>
      <c r="B94" s="218" t="s">
        <v>887</v>
      </c>
      <c r="C94" s="218" t="s">
        <v>179</v>
      </c>
      <c r="D94" s="218" t="s">
        <v>120</v>
      </c>
      <c r="E94" s="218">
        <v>7000</v>
      </c>
      <c r="F94" s="219">
        <f t="shared" si="2"/>
        <v>11.403961214802081</v>
      </c>
      <c r="G94" s="220">
        <v>613.82180000000005</v>
      </c>
      <c r="H94" s="77" t="s">
        <v>193</v>
      </c>
      <c r="I94" s="77" t="s">
        <v>888</v>
      </c>
      <c r="J94" s="218" t="s">
        <v>100</v>
      </c>
      <c r="K94" s="218" t="s">
        <v>451</v>
      </c>
      <c r="L94" s="218" t="s">
        <v>160</v>
      </c>
      <c r="M94" s="218"/>
      <c r="N94" s="218"/>
    </row>
    <row r="95" spans="1:14">
      <c r="A95" s="217">
        <v>45702</v>
      </c>
      <c r="B95" s="218" t="s">
        <v>534</v>
      </c>
      <c r="C95" s="218" t="s">
        <v>179</v>
      </c>
      <c r="D95" s="218" t="s">
        <v>123</v>
      </c>
      <c r="E95" s="218">
        <v>7000</v>
      </c>
      <c r="F95" s="219">
        <f t="shared" si="2"/>
        <v>11.403961214802081</v>
      </c>
      <c r="G95" s="220">
        <v>613.82180000000005</v>
      </c>
      <c r="H95" s="77" t="s">
        <v>220</v>
      </c>
      <c r="I95" s="77" t="s">
        <v>535</v>
      </c>
      <c r="J95" s="218" t="s">
        <v>100</v>
      </c>
      <c r="K95" s="218" t="s">
        <v>451</v>
      </c>
      <c r="L95" s="218" t="s">
        <v>160</v>
      </c>
      <c r="M95" s="218"/>
      <c r="N95" s="218"/>
    </row>
    <row r="96" spans="1:14">
      <c r="A96" s="217">
        <v>45702</v>
      </c>
      <c r="B96" s="218" t="s">
        <v>915</v>
      </c>
      <c r="C96" s="218" t="s">
        <v>297</v>
      </c>
      <c r="D96" s="218" t="s">
        <v>120</v>
      </c>
      <c r="E96" s="218">
        <v>20000</v>
      </c>
      <c r="F96" s="219">
        <f t="shared" si="2"/>
        <v>32.582746328005946</v>
      </c>
      <c r="G96" s="220">
        <v>613.82180000000005</v>
      </c>
      <c r="H96" s="77" t="s">
        <v>199</v>
      </c>
      <c r="I96" s="77" t="s">
        <v>916</v>
      </c>
      <c r="J96" s="218" t="s">
        <v>100</v>
      </c>
      <c r="K96" s="218" t="s">
        <v>451</v>
      </c>
      <c r="L96" s="218" t="s">
        <v>160</v>
      </c>
      <c r="M96" s="218"/>
      <c r="N96" s="218"/>
    </row>
    <row r="97" spans="1:14">
      <c r="A97" s="217">
        <v>45702</v>
      </c>
      <c r="B97" s="218" t="s">
        <v>989</v>
      </c>
      <c r="C97" s="218" t="s">
        <v>179</v>
      </c>
      <c r="D97" s="218" t="s">
        <v>124</v>
      </c>
      <c r="E97" s="218">
        <v>7000</v>
      </c>
      <c r="F97" s="219">
        <f t="shared" si="2"/>
        <v>11.403961214802081</v>
      </c>
      <c r="G97" s="220">
        <v>613.82180000000005</v>
      </c>
      <c r="H97" s="77" t="s">
        <v>327</v>
      </c>
      <c r="I97" s="77" t="s">
        <v>948</v>
      </c>
      <c r="J97" s="218" t="s">
        <v>100</v>
      </c>
      <c r="K97" s="218" t="s">
        <v>451</v>
      </c>
      <c r="L97" s="218" t="s">
        <v>160</v>
      </c>
      <c r="M97" s="218"/>
      <c r="N97" s="218"/>
    </row>
    <row r="98" spans="1:14">
      <c r="A98" s="217">
        <v>45703</v>
      </c>
      <c r="B98" s="218" t="s">
        <v>786</v>
      </c>
      <c r="C98" s="218" t="s">
        <v>469</v>
      </c>
      <c r="D98" s="218" t="s">
        <v>122</v>
      </c>
      <c r="E98" s="218">
        <v>100000</v>
      </c>
      <c r="F98" s="219">
        <f t="shared" ref="F98:F129" si="3">E98/G98</f>
        <v>162.91373164002971</v>
      </c>
      <c r="G98" s="220">
        <v>613.82180000000005</v>
      </c>
      <c r="H98" s="77" t="s">
        <v>157</v>
      </c>
      <c r="I98" s="77" t="s">
        <v>787</v>
      </c>
      <c r="J98" s="218" t="s">
        <v>100</v>
      </c>
      <c r="K98" s="218" t="s">
        <v>451</v>
      </c>
      <c r="L98" s="218" t="s">
        <v>160</v>
      </c>
      <c r="M98" s="218"/>
      <c r="N98" s="218"/>
    </row>
    <row r="99" spans="1:14">
      <c r="A99" s="217">
        <v>45703</v>
      </c>
      <c r="B99" s="218" t="s">
        <v>577</v>
      </c>
      <c r="C99" s="218" t="s">
        <v>469</v>
      </c>
      <c r="D99" s="218" t="s">
        <v>120</v>
      </c>
      <c r="E99" s="218">
        <v>180000</v>
      </c>
      <c r="F99" s="219">
        <f t="shared" si="3"/>
        <v>293.24471695205347</v>
      </c>
      <c r="G99" s="220">
        <v>613.82180000000005</v>
      </c>
      <c r="H99" s="77" t="s">
        <v>207</v>
      </c>
      <c r="I99" s="77" t="s">
        <v>578</v>
      </c>
      <c r="J99" s="218" t="s">
        <v>100</v>
      </c>
      <c r="K99" s="218" t="s">
        <v>451</v>
      </c>
      <c r="L99" s="218" t="s">
        <v>160</v>
      </c>
      <c r="M99" s="218"/>
      <c r="N99" s="218"/>
    </row>
    <row r="100" spans="1:14">
      <c r="A100" s="217">
        <v>45703</v>
      </c>
      <c r="B100" s="218" t="s">
        <v>999</v>
      </c>
      <c r="C100" s="218" t="s">
        <v>183</v>
      </c>
      <c r="D100" s="218" t="s">
        <v>124</v>
      </c>
      <c r="E100" s="218">
        <v>70000</v>
      </c>
      <c r="F100" s="219">
        <f t="shared" si="3"/>
        <v>114.03961214802079</v>
      </c>
      <c r="G100" s="220">
        <v>613.82180000000005</v>
      </c>
      <c r="H100" s="77" t="s">
        <v>327</v>
      </c>
      <c r="I100" s="77" t="s">
        <v>947</v>
      </c>
      <c r="J100" s="218" t="s">
        <v>100</v>
      </c>
      <c r="K100" s="218" t="s">
        <v>451</v>
      </c>
      <c r="L100" s="218" t="s">
        <v>160</v>
      </c>
      <c r="M100" s="218"/>
      <c r="N100" s="218"/>
    </row>
    <row r="101" spans="1:14">
      <c r="A101" s="217">
        <v>45703</v>
      </c>
      <c r="B101" s="218" t="s">
        <v>987</v>
      </c>
      <c r="C101" s="218" t="s">
        <v>469</v>
      </c>
      <c r="D101" s="218" t="s">
        <v>124</v>
      </c>
      <c r="E101" s="218">
        <v>30000</v>
      </c>
      <c r="F101" s="219">
        <f t="shared" si="3"/>
        <v>48.874119492008916</v>
      </c>
      <c r="G101" s="220">
        <v>613.82180000000005</v>
      </c>
      <c r="H101" s="77" t="s">
        <v>333</v>
      </c>
      <c r="I101" s="77" t="s">
        <v>876</v>
      </c>
      <c r="J101" s="218" t="s">
        <v>100</v>
      </c>
      <c r="K101" s="218" t="s">
        <v>451</v>
      </c>
      <c r="L101" s="218" t="s">
        <v>160</v>
      </c>
      <c r="M101" s="218"/>
      <c r="N101" s="218"/>
    </row>
    <row r="102" spans="1:14">
      <c r="A102" s="217">
        <v>45703</v>
      </c>
      <c r="B102" s="218" t="s">
        <v>889</v>
      </c>
      <c r="C102" s="218" t="s">
        <v>183</v>
      </c>
      <c r="D102" s="218" t="s">
        <v>120</v>
      </c>
      <c r="E102" s="218">
        <v>170000</v>
      </c>
      <c r="F102" s="219">
        <f t="shared" si="3"/>
        <v>276.95334378805052</v>
      </c>
      <c r="G102" s="220">
        <v>613.82180000000005</v>
      </c>
      <c r="H102" s="77" t="s">
        <v>193</v>
      </c>
      <c r="I102" s="77" t="s">
        <v>890</v>
      </c>
      <c r="J102" s="218" t="s">
        <v>100</v>
      </c>
      <c r="K102" s="218" t="s">
        <v>451</v>
      </c>
      <c r="L102" s="218" t="s">
        <v>160</v>
      </c>
      <c r="M102" s="218"/>
      <c r="N102" s="218"/>
    </row>
    <row r="103" spans="1:14">
      <c r="A103" s="217">
        <v>45703</v>
      </c>
      <c r="B103" s="218" t="s">
        <v>564</v>
      </c>
      <c r="C103" s="218" t="s">
        <v>469</v>
      </c>
      <c r="D103" s="218" t="s">
        <v>120</v>
      </c>
      <c r="E103" s="218">
        <v>45000</v>
      </c>
      <c r="F103" s="219">
        <f t="shared" si="3"/>
        <v>73.311179238013366</v>
      </c>
      <c r="G103" s="220">
        <v>613.82180000000005</v>
      </c>
      <c r="H103" s="77" t="s">
        <v>196</v>
      </c>
      <c r="I103" s="77" t="s">
        <v>565</v>
      </c>
      <c r="J103" s="218" t="s">
        <v>100</v>
      </c>
      <c r="K103" s="218" t="s">
        <v>451</v>
      </c>
      <c r="L103" s="218" t="s">
        <v>160</v>
      </c>
    </row>
    <row r="104" spans="1:14">
      <c r="A104" s="217">
        <v>45703</v>
      </c>
      <c r="B104" s="218" t="s">
        <v>917</v>
      </c>
      <c r="C104" s="218" t="s">
        <v>183</v>
      </c>
      <c r="D104" s="218" t="s">
        <v>120</v>
      </c>
      <c r="E104" s="218">
        <v>30000</v>
      </c>
      <c r="F104" s="219">
        <f t="shared" si="3"/>
        <v>48.874119492008916</v>
      </c>
      <c r="G104" s="220">
        <v>613.82180000000005</v>
      </c>
      <c r="H104" s="77" t="s">
        <v>199</v>
      </c>
      <c r="I104" s="77" t="s">
        <v>918</v>
      </c>
      <c r="J104" s="218" t="s">
        <v>100</v>
      </c>
      <c r="K104" s="218" t="s">
        <v>451</v>
      </c>
      <c r="L104" s="218" t="s">
        <v>160</v>
      </c>
    </row>
    <row r="105" spans="1:14">
      <c r="A105" s="217">
        <v>45703</v>
      </c>
      <c r="B105" s="218" t="s">
        <v>919</v>
      </c>
      <c r="C105" s="218" t="s">
        <v>179</v>
      </c>
      <c r="D105" s="218" t="s">
        <v>120</v>
      </c>
      <c r="E105" s="218">
        <v>4000</v>
      </c>
      <c r="F105" s="219">
        <f t="shared" si="3"/>
        <v>6.5165492656011885</v>
      </c>
      <c r="G105" s="220">
        <v>613.82180000000005</v>
      </c>
      <c r="H105" s="77" t="s">
        <v>199</v>
      </c>
      <c r="I105" s="77" t="s">
        <v>920</v>
      </c>
      <c r="J105" s="218" t="s">
        <v>100</v>
      </c>
      <c r="K105" s="218" t="s">
        <v>451</v>
      </c>
      <c r="L105" s="218" t="s">
        <v>160</v>
      </c>
    </row>
    <row r="106" spans="1:14">
      <c r="A106" s="217">
        <v>45703</v>
      </c>
      <c r="B106" s="218" t="s">
        <v>536</v>
      </c>
      <c r="C106" s="218" t="s">
        <v>183</v>
      </c>
      <c r="D106" s="218" t="s">
        <v>123</v>
      </c>
      <c r="E106" s="218">
        <v>130000</v>
      </c>
      <c r="F106" s="219">
        <f t="shared" si="3"/>
        <v>211.78785113203864</v>
      </c>
      <c r="G106" s="220">
        <v>613.82180000000005</v>
      </c>
      <c r="H106" s="77" t="s">
        <v>220</v>
      </c>
      <c r="I106" s="77" t="s">
        <v>537</v>
      </c>
      <c r="J106" s="218" t="s">
        <v>100</v>
      </c>
      <c r="K106" s="218" t="s">
        <v>451</v>
      </c>
      <c r="L106" s="218" t="s">
        <v>160</v>
      </c>
    </row>
    <row r="107" spans="1:14">
      <c r="A107" s="217">
        <v>45703</v>
      </c>
      <c r="B107" s="218" t="s">
        <v>921</v>
      </c>
      <c r="C107" s="218" t="s">
        <v>179</v>
      </c>
      <c r="D107" s="218" t="s">
        <v>120</v>
      </c>
      <c r="E107" s="218">
        <v>7000</v>
      </c>
      <c r="F107" s="219">
        <f t="shared" si="3"/>
        <v>11.403961214802081</v>
      </c>
      <c r="G107" s="220">
        <v>613.82180000000005</v>
      </c>
      <c r="H107" s="77" t="s">
        <v>199</v>
      </c>
      <c r="I107" s="77" t="s">
        <v>922</v>
      </c>
      <c r="J107" s="218" t="s">
        <v>100</v>
      </c>
      <c r="K107" s="218" t="s">
        <v>451</v>
      </c>
      <c r="L107" s="218" t="s">
        <v>160</v>
      </c>
    </row>
    <row r="108" spans="1:14">
      <c r="A108" s="217">
        <v>45705</v>
      </c>
      <c r="B108" s="218" t="s">
        <v>699</v>
      </c>
      <c r="C108" s="218" t="s">
        <v>156</v>
      </c>
      <c r="D108" s="218" t="s">
        <v>124</v>
      </c>
      <c r="E108" s="218">
        <v>15000</v>
      </c>
      <c r="F108" s="219">
        <f t="shared" si="3"/>
        <v>24.437059746004458</v>
      </c>
      <c r="G108" s="220">
        <v>613.82180000000005</v>
      </c>
      <c r="H108" s="77" t="s">
        <v>162</v>
      </c>
      <c r="I108" s="77" t="s">
        <v>700</v>
      </c>
      <c r="J108" s="218" t="s">
        <v>100</v>
      </c>
      <c r="K108" s="218" t="s">
        <v>451</v>
      </c>
      <c r="L108" s="218" t="s">
        <v>160</v>
      </c>
    </row>
    <row r="109" spans="1:14">
      <c r="A109" s="217">
        <v>45706</v>
      </c>
      <c r="B109" s="218" t="s">
        <v>702</v>
      </c>
      <c r="C109" s="218" t="s">
        <v>188</v>
      </c>
      <c r="D109" s="218" t="s">
        <v>121</v>
      </c>
      <c r="E109" s="218">
        <v>9000</v>
      </c>
      <c r="F109" s="219">
        <f t="shared" si="3"/>
        <v>14.662235847602675</v>
      </c>
      <c r="G109" s="220">
        <v>613.82180000000005</v>
      </c>
      <c r="H109" s="77" t="s">
        <v>671</v>
      </c>
      <c r="I109" s="77" t="s">
        <v>703</v>
      </c>
      <c r="J109" s="218" t="s">
        <v>100</v>
      </c>
      <c r="K109" s="218" t="s">
        <v>451</v>
      </c>
      <c r="L109" s="218" t="s">
        <v>160</v>
      </c>
    </row>
    <row r="110" spans="1:14">
      <c r="A110" s="217">
        <v>45706</v>
      </c>
      <c r="B110" s="218" t="s">
        <v>991</v>
      </c>
      <c r="C110" s="218" t="s">
        <v>183</v>
      </c>
      <c r="D110" s="218" t="s">
        <v>124</v>
      </c>
      <c r="E110" s="218">
        <v>45000</v>
      </c>
      <c r="F110" s="219">
        <f t="shared" si="3"/>
        <v>73.311179238013366</v>
      </c>
      <c r="G110" s="220">
        <v>613.82180000000005</v>
      </c>
      <c r="H110" s="77" t="s">
        <v>327</v>
      </c>
      <c r="I110" s="77" t="s">
        <v>949</v>
      </c>
      <c r="J110" s="218" t="s">
        <v>100</v>
      </c>
      <c r="K110" s="218" t="s">
        <v>451</v>
      </c>
      <c r="L110" s="218" t="s">
        <v>160</v>
      </c>
    </row>
    <row r="111" spans="1:14">
      <c r="A111" s="217">
        <v>45706</v>
      </c>
      <c r="B111" s="218" t="s">
        <v>989</v>
      </c>
      <c r="C111" s="218" t="s">
        <v>179</v>
      </c>
      <c r="D111" s="218" t="s">
        <v>124</v>
      </c>
      <c r="E111" s="218">
        <v>4000</v>
      </c>
      <c r="F111" s="219">
        <f t="shared" si="3"/>
        <v>6.5165492656011885</v>
      </c>
      <c r="G111" s="220">
        <v>613.82180000000005</v>
      </c>
      <c r="H111" s="77" t="s">
        <v>327</v>
      </c>
      <c r="I111" s="77" t="s">
        <v>950</v>
      </c>
      <c r="J111" s="218" t="s">
        <v>100</v>
      </c>
      <c r="K111" s="218" t="s">
        <v>451</v>
      </c>
      <c r="L111" s="218" t="s">
        <v>160</v>
      </c>
    </row>
    <row r="112" spans="1:14">
      <c r="A112" s="217">
        <v>45706</v>
      </c>
      <c r="B112" s="218" t="s">
        <v>704</v>
      </c>
      <c r="C112" s="218" t="s">
        <v>263</v>
      </c>
      <c r="D112" s="218" t="s">
        <v>120</v>
      </c>
      <c r="E112" s="218">
        <v>70000</v>
      </c>
      <c r="F112" s="219">
        <f t="shared" si="3"/>
        <v>114.03961214802079</v>
      </c>
      <c r="G112" s="220">
        <v>613.82180000000005</v>
      </c>
      <c r="H112" s="77" t="s">
        <v>199</v>
      </c>
      <c r="I112" s="77" t="s">
        <v>705</v>
      </c>
      <c r="J112" s="218" t="s">
        <v>100</v>
      </c>
      <c r="K112" s="218" t="s">
        <v>451</v>
      </c>
      <c r="L112" s="218" t="s">
        <v>160</v>
      </c>
    </row>
    <row r="113" spans="1:12">
      <c r="A113" s="217">
        <v>45707</v>
      </c>
      <c r="B113" s="218" t="s">
        <v>976</v>
      </c>
      <c r="C113" s="218" t="s">
        <v>379</v>
      </c>
      <c r="D113" s="218" t="s">
        <v>124</v>
      </c>
      <c r="E113" s="218">
        <v>30000</v>
      </c>
      <c r="F113" s="219">
        <f t="shared" si="3"/>
        <v>48.874119492008916</v>
      </c>
      <c r="G113" s="220">
        <v>613.82180000000005</v>
      </c>
      <c r="H113" s="77" t="s">
        <v>162</v>
      </c>
      <c r="I113" s="77" t="s">
        <v>713</v>
      </c>
      <c r="J113" s="218" t="s">
        <v>100</v>
      </c>
      <c r="K113" s="218" t="s">
        <v>451</v>
      </c>
      <c r="L113" s="218" t="s">
        <v>160</v>
      </c>
    </row>
    <row r="114" spans="1:12">
      <c r="A114" s="217">
        <v>45707</v>
      </c>
      <c r="B114" s="218" t="s">
        <v>714</v>
      </c>
      <c r="C114" s="218" t="s">
        <v>188</v>
      </c>
      <c r="D114" s="218" t="s">
        <v>121</v>
      </c>
      <c r="E114" s="218">
        <v>1952</v>
      </c>
      <c r="F114" s="219">
        <f t="shared" si="3"/>
        <v>3.3698684387478939</v>
      </c>
      <c r="G114" s="220">
        <v>579.25109999999995</v>
      </c>
      <c r="H114" s="77" t="s">
        <v>162</v>
      </c>
      <c r="I114" s="77" t="s">
        <v>715</v>
      </c>
      <c r="J114" s="218" t="s">
        <v>100</v>
      </c>
      <c r="K114" s="218" t="s">
        <v>209</v>
      </c>
      <c r="L114" s="218" t="s">
        <v>160</v>
      </c>
    </row>
    <row r="115" spans="1:12">
      <c r="A115" s="217">
        <v>45707</v>
      </c>
      <c r="B115" s="218" t="s">
        <v>716</v>
      </c>
      <c r="C115" s="218" t="s">
        <v>188</v>
      </c>
      <c r="D115" s="218" t="s">
        <v>121</v>
      </c>
      <c r="E115" s="218">
        <v>14250</v>
      </c>
      <c r="F115" s="219">
        <f t="shared" si="3"/>
        <v>23.215206758704234</v>
      </c>
      <c r="G115" s="220">
        <v>613.82180000000005</v>
      </c>
      <c r="H115" s="77" t="s">
        <v>671</v>
      </c>
      <c r="I115" s="77" t="s">
        <v>717</v>
      </c>
      <c r="J115" s="218" t="s">
        <v>100</v>
      </c>
      <c r="K115" s="218" t="s">
        <v>451</v>
      </c>
      <c r="L115" s="218" t="s">
        <v>160</v>
      </c>
    </row>
    <row r="116" spans="1:12">
      <c r="A116" s="217">
        <v>45708</v>
      </c>
      <c r="B116" s="218" t="s">
        <v>992</v>
      </c>
      <c r="C116" s="218" t="s">
        <v>183</v>
      </c>
      <c r="D116" s="218" t="s">
        <v>124</v>
      </c>
      <c r="E116" s="218">
        <v>30000</v>
      </c>
      <c r="F116" s="219">
        <f t="shared" si="3"/>
        <v>48.874119492008916</v>
      </c>
      <c r="G116" s="220">
        <v>613.82180000000005</v>
      </c>
      <c r="H116" s="77" t="s">
        <v>327</v>
      </c>
      <c r="I116" s="77" t="s">
        <v>951</v>
      </c>
      <c r="J116" s="218" t="s">
        <v>100</v>
      </c>
      <c r="K116" s="218" t="s">
        <v>451</v>
      </c>
      <c r="L116" s="218" t="s">
        <v>160</v>
      </c>
    </row>
    <row r="117" spans="1:12">
      <c r="A117" s="217">
        <v>45708</v>
      </c>
      <c r="B117" s="218" t="s">
        <v>989</v>
      </c>
      <c r="C117" s="218" t="s">
        <v>179</v>
      </c>
      <c r="D117" s="218" t="s">
        <v>124</v>
      </c>
      <c r="E117" s="218">
        <v>4000</v>
      </c>
      <c r="F117" s="219">
        <f t="shared" si="3"/>
        <v>6.5165492656011885</v>
      </c>
      <c r="G117" s="220">
        <v>613.82180000000005</v>
      </c>
      <c r="H117" s="77" t="s">
        <v>327</v>
      </c>
      <c r="I117" s="77" t="s">
        <v>952</v>
      </c>
      <c r="J117" s="218" t="s">
        <v>100</v>
      </c>
      <c r="K117" s="218" t="s">
        <v>451</v>
      </c>
      <c r="L117" s="218" t="s">
        <v>160</v>
      </c>
    </row>
    <row r="118" spans="1:12">
      <c r="A118" s="217">
        <v>45708</v>
      </c>
      <c r="B118" s="218" t="s">
        <v>567</v>
      </c>
      <c r="C118" s="218" t="s">
        <v>469</v>
      </c>
      <c r="D118" s="218" t="s">
        <v>120</v>
      </c>
      <c r="E118" s="218">
        <v>75000</v>
      </c>
      <c r="F118" s="219">
        <f t="shared" si="3"/>
        <v>122.18529873002228</v>
      </c>
      <c r="G118" s="220">
        <v>613.82180000000005</v>
      </c>
      <c r="H118" s="77" t="s">
        <v>196</v>
      </c>
      <c r="I118" s="77" t="s">
        <v>568</v>
      </c>
      <c r="J118" s="218" t="s">
        <v>100</v>
      </c>
      <c r="K118" s="218" t="s">
        <v>451</v>
      </c>
      <c r="L118" s="218" t="s">
        <v>160</v>
      </c>
    </row>
    <row r="119" spans="1:12">
      <c r="A119" s="217">
        <v>45709</v>
      </c>
      <c r="B119" s="218" t="s">
        <v>681</v>
      </c>
      <c r="C119" s="218" t="s">
        <v>188</v>
      </c>
      <c r="D119" s="218" t="s">
        <v>121</v>
      </c>
      <c r="E119" s="218">
        <v>14700</v>
      </c>
      <c r="F119" s="219">
        <f t="shared" si="3"/>
        <v>23.94831855108437</v>
      </c>
      <c r="G119" s="220">
        <v>613.82180000000005</v>
      </c>
      <c r="H119" s="77" t="s">
        <v>199</v>
      </c>
      <c r="I119" s="77" t="s">
        <v>727</v>
      </c>
      <c r="J119" s="218" t="s">
        <v>100</v>
      </c>
      <c r="K119" s="218" t="s">
        <v>451</v>
      </c>
      <c r="L119" s="218" t="s">
        <v>160</v>
      </c>
    </row>
    <row r="120" spans="1:12">
      <c r="A120" s="217">
        <v>45710</v>
      </c>
      <c r="B120" s="218" t="s">
        <v>968</v>
      </c>
      <c r="C120" s="218" t="s">
        <v>469</v>
      </c>
      <c r="D120" s="218" t="s">
        <v>120</v>
      </c>
      <c r="E120" s="218">
        <v>105000</v>
      </c>
      <c r="F120" s="219">
        <f t="shared" si="3"/>
        <v>171.05941822203121</v>
      </c>
      <c r="G120" s="220">
        <v>613.82180000000005</v>
      </c>
      <c r="H120" s="77" t="s">
        <v>207</v>
      </c>
      <c r="I120" s="77" t="s">
        <v>582</v>
      </c>
      <c r="J120" s="218" t="s">
        <v>100</v>
      </c>
      <c r="K120" s="218" t="s">
        <v>451</v>
      </c>
      <c r="L120" s="218" t="s">
        <v>160</v>
      </c>
    </row>
    <row r="121" spans="1:12">
      <c r="A121" s="217">
        <v>45710</v>
      </c>
      <c r="B121" s="218" t="s">
        <v>1010</v>
      </c>
      <c r="C121" s="218" t="s">
        <v>469</v>
      </c>
      <c r="D121" s="218" t="s">
        <v>124</v>
      </c>
      <c r="E121" s="218">
        <v>180000</v>
      </c>
      <c r="F121" s="219">
        <f t="shared" si="3"/>
        <v>293.24471695205347</v>
      </c>
      <c r="G121" s="220">
        <v>613.82180000000005</v>
      </c>
      <c r="H121" s="77" t="s">
        <v>181</v>
      </c>
      <c r="I121" s="77" t="s">
        <v>851</v>
      </c>
      <c r="J121" s="218" t="s">
        <v>100</v>
      </c>
      <c r="K121" s="218" t="s">
        <v>451</v>
      </c>
      <c r="L121" s="218" t="s">
        <v>160</v>
      </c>
    </row>
    <row r="122" spans="1:12">
      <c r="A122" s="217">
        <v>45710</v>
      </c>
      <c r="B122" s="218" t="s">
        <v>993</v>
      </c>
      <c r="C122" s="218" t="s">
        <v>183</v>
      </c>
      <c r="D122" s="218" t="s">
        <v>124</v>
      </c>
      <c r="E122" s="218">
        <v>30000</v>
      </c>
      <c r="F122" s="219">
        <f t="shared" si="3"/>
        <v>48.874119492008916</v>
      </c>
      <c r="G122" s="220">
        <v>613.82180000000005</v>
      </c>
      <c r="H122" s="77" t="s">
        <v>327</v>
      </c>
      <c r="I122" s="77" t="s">
        <v>953</v>
      </c>
      <c r="J122" s="218" t="s">
        <v>100</v>
      </c>
      <c r="K122" s="218" t="s">
        <v>451</v>
      </c>
      <c r="L122" s="218" t="s">
        <v>160</v>
      </c>
    </row>
    <row r="123" spans="1:12">
      <c r="A123" s="217">
        <v>45710</v>
      </c>
      <c r="B123" s="218" t="s">
        <v>989</v>
      </c>
      <c r="C123" s="218" t="s">
        <v>179</v>
      </c>
      <c r="D123" s="218" t="s">
        <v>124</v>
      </c>
      <c r="E123" s="218">
        <v>7000</v>
      </c>
      <c r="F123" s="219">
        <f t="shared" si="3"/>
        <v>11.403961214802081</v>
      </c>
      <c r="G123" s="220">
        <v>613.82180000000005</v>
      </c>
      <c r="H123" s="77" t="s">
        <v>327</v>
      </c>
      <c r="I123" s="77" t="s">
        <v>954</v>
      </c>
      <c r="J123" s="218" t="s">
        <v>100</v>
      </c>
      <c r="K123" s="218" t="s">
        <v>451</v>
      </c>
      <c r="L123" s="218" t="s">
        <v>160</v>
      </c>
    </row>
    <row r="124" spans="1:12">
      <c r="A124" s="217">
        <v>45711</v>
      </c>
      <c r="B124" s="218" t="s">
        <v>852</v>
      </c>
      <c r="C124" s="218" t="s">
        <v>379</v>
      </c>
      <c r="D124" s="218" t="s">
        <v>124</v>
      </c>
      <c r="E124" s="218">
        <v>68000</v>
      </c>
      <c r="F124" s="219">
        <f t="shared" si="3"/>
        <v>110.7813375152202</v>
      </c>
      <c r="G124" s="220">
        <v>613.82180000000005</v>
      </c>
      <c r="H124" s="77" t="s">
        <v>181</v>
      </c>
      <c r="I124" s="77" t="s">
        <v>853</v>
      </c>
      <c r="J124" s="218" t="s">
        <v>100</v>
      </c>
      <c r="K124" s="218" t="s">
        <v>451</v>
      </c>
      <c r="L124" s="218" t="s">
        <v>160</v>
      </c>
    </row>
    <row r="125" spans="1:12">
      <c r="A125" s="217">
        <v>45712</v>
      </c>
      <c r="B125" s="218" t="s">
        <v>585</v>
      </c>
      <c r="C125" s="218" t="s">
        <v>469</v>
      </c>
      <c r="D125" s="218" t="s">
        <v>206</v>
      </c>
      <c r="E125" s="218">
        <v>10500</v>
      </c>
      <c r="F125" s="219">
        <f t="shared" si="3"/>
        <v>17.105941822203121</v>
      </c>
      <c r="G125" s="220">
        <v>613.82180000000005</v>
      </c>
      <c r="H125" s="77" t="s">
        <v>207</v>
      </c>
      <c r="I125" s="77" t="s">
        <v>586</v>
      </c>
      <c r="J125" s="218" t="s">
        <v>100</v>
      </c>
      <c r="K125" s="218" t="s">
        <v>451</v>
      </c>
      <c r="L125" s="218" t="s">
        <v>160</v>
      </c>
    </row>
    <row r="126" spans="1:12">
      <c r="A126" s="217">
        <v>45712</v>
      </c>
      <c r="B126" s="218" t="s">
        <v>587</v>
      </c>
      <c r="C126" s="218" t="s">
        <v>177</v>
      </c>
      <c r="D126" s="218" t="s">
        <v>206</v>
      </c>
      <c r="E126" s="218">
        <v>1500</v>
      </c>
      <c r="F126" s="219">
        <f t="shared" si="3"/>
        <v>2.4437059746004457</v>
      </c>
      <c r="G126" s="220">
        <v>613.82180000000005</v>
      </c>
      <c r="H126" s="77" t="s">
        <v>207</v>
      </c>
      <c r="I126" s="77" t="s">
        <v>588</v>
      </c>
      <c r="J126" s="218" t="s">
        <v>100</v>
      </c>
      <c r="K126" s="218" t="s">
        <v>451</v>
      </c>
      <c r="L126" s="218" t="s">
        <v>160</v>
      </c>
    </row>
    <row r="127" spans="1:12">
      <c r="A127" s="217">
        <v>45712</v>
      </c>
      <c r="B127" s="218" t="s">
        <v>738</v>
      </c>
      <c r="C127" s="218" t="s">
        <v>156</v>
      </c>
      <c r="D127" s="218" t="s">
        <v>122</v>
      </c>
      <c r="E127" s="218">
        <v>5000</v>
      </c>
      <c r="F127" s="219">
        <f t="shared" si="3"/>
        <v>8.1456865820014865</v>
      </c>
      <c r="G127" s="220">
        <v>613.82180000000005</v>
      </c>
      <c r="H127" s="77" t="s">
        <v>162</v>
      </c>
      <c r="I127" s="77" t="s">
        <v>739</v>
      </c>
      <c r="J127" s="218" t="s">
        <v>100</v>
      </c>
      <c r="K127" s="218" t="s">
        <v>451</v>
      </c>
      <c r="L127" s="218" t="s">
        <v>160</v>
      </c>
    </row>
    <row r="128" spans="1:12">
      <c r="A128" s="217">
        <v>45712</v>
      </c>
      <c r="B128" s="218" t="s">
        <v>1006</v>
      </c>
      <c r="C128" s="218" t="s">
        <v>183</v>
      </c>
      <c r="D128" s="218" t="s">
        <v>124</v>
      </c>
      <c r="E128" s="218">
        <v>210000</v>
      </c>
      <c r="F128" s="219">
        <f t="shared" si="3"/>
        <v>342.11883644406242</v>
      </c>
      <c r="G128" s="220">
        <v>613.82180000000005</v>
      </c>
      <c r="H128" s="77" t="s">
        <v>190</v>
      </c>
      <c r="I128" s="77" t="s">
        <v>828</v>
      </c>
      <c r="J128" s="218" t="s">
        <v>100</v>
      </c>
      <c r="K128" s="218" t="s">
        <v>451</v>
      </c>
      <c r="L128" s="218" t="s">
        <v>160</v>
      </c>
    </row>
    <row r="129" spans="1:12">
      <c r="A129" s="217">
        <v>45712</v>
      </c>
      <c r="B129" s="218" t="s">
        <v>1014</v>
      </c>
      <c r="C129" s="218" t="s">
        <v>179</v>
      </c>
      <c r="D129" s="218" t="s">
        <v>206</v>
      </c>
      <c r="E129" s="218">
        <v>50000</v>
      </c>
      <c r="F129" s="219">
        <f t="shared" si="3"/>
        <v>81.456865820014855</v>
      </c>
      <c r="G129" s="220">
        <v>613.82180000000005</v>
      </c>
      <c r="H129" s="77" t="s">
        <v>190</v>
      </c>
      <c r="I129" s="77" t="s">
        <v>829</v>
      </c>
      <c r="J129" s="218" t="s">
        <v>100</v>
      </c>
      <c r="K129" s="218" t="s">
        <v>451</v>
      </c>
      <c r="L129" s="218" t="s">
        <v>160</v>
      </c>
    </row>
    <row r="130" spans="1:12">
      <c r="A130" s="217">
        <v>45712</v>
      </c>
      <c r="B130" s="218" t="s">
        <v>1015</v>
      </c>
      <c r="C130" s="218" t="s">
        <v>179</v>
      </c>
      <c r="D130" s="218" t="s">
        <v>206</v>
      </c>
      <c r="E130" s="218">
        <v>8000</v>
      </c>
      <c r="F130" s="219">
        <f t="shared" ref="F130:F161" si="4">E130/G130</f>
        <v>13.033098531202377</v>
      </c>
      <c r="G130" s="220">
        <v>613.82180000000005</v>
      </c>
      <c r="H130" s="77" t="s">
        <v>190</v>
      </c>
      <c r="I130" s="77" t="s">
        <v>830</v>
      </c>
      <c r="J130" s="218" t="s">
        <v>100</v>
      </c>
      <c r="K130" s="218" t="s">
        <v>451</v>
      </c>
      <c r="L130" s="218" t="s">
        <v>160</v>
      </c>
    </row>
    <row r="131" spans="1:12">
      <c r="A131" s="217">
        <v>45712</v>
      </c>
      <c r="B131" s="218" t="s">
        <v>1016</v>
      </c>
      <c r="C131" s="218" t="s">
        <v>179</v>
      </c>
      <c r="D131" s="218" t="s">
        <v>206</v>
      </c>
      <c r="E131" s="218">
        <v>8000</v>
      </c>
      <c r="F131" s="219">
        <f t="shared" si="4"/>
        <v>13.033098531202377</v>
      </c>
      <c r="G131" s="220">
        <v>613.82180000000005</v>
      </c>
      <c r="H131" s="77" t="s">
        <v>190</v>
      </c>
      <c r="I131" s="77" t="s">
        <v>831</v>
      </c>
      <c r="J131" s="218" t="s">
        <v>100</v>
      </c>
      <c r="K131" s="218" t="s">
        <v>451</v>
      </c>
      <c r="L131" s="218" t="s">
        <v>160</v>
      </c>
    </row>
    <row r="132" spans="1:12">
      <c r="A132" s="217">
        <v>45712</v>
      </c>
      <c r="B132" s="218" t="s">
        <v>254</v>
      </c>
      <c r="C132" s="218" t="s">
        <v>183</v>
      </c>
      <c r="D132" s="218" t="s">
        <v>206</v>
      </c>
      <c r="E132" s="218">
        <v>18000</v>
      </c>
      <c r="F132" s="219">
        <f t="shared" si="4"/>
        <v>29.32447169520535</v>
      </c>
      <c r="G132" s="220">
        <v>613.82180000000005</v>
      </c>
      <c r="H132" s="77" t="s">
        <v>193</v>
      </c>
      <c r="I132" s="77" t="s">
        <v>891</v>
      </c>
      <c r="J132" s="218" t="s">
        <v>100</v>
      </c>
      <c r="K132" s="218" t="s">
        <v>451</v>
      </c>
      <c r="L132" s="218" t="s">
        <v>160</v>
      </c>
    </row>
    <row r="133" spans="1:12">
      <c r="A133" s="217">
        <v>45712</v>
      </c>
      <c r="B133" s="218" t="s">
        <v>892</v>
      </c>
      <c r="C133" s="218" t="s">
        <v>179</v>
      </c>
      <c r="D133" s="218" t="s">
        <v>206</v>
      </c>
      <c r="E133" s="218">
        <v>25000</v>
      </c>
      <c r="F133" s="219">
        <f t="shared" si="4"/>
        <v>40.728432910007427</v>
      </c>
      <c r="G133" s="220">
        <v>613.82180000000005</v>
      </c>
      <c r="H133" s="77" t="s">
        <v>193</v>
      </c>
      <c r="I133" s="77" t="s">
        <v>893</v>
      </c>
      <c r="J133" s="218" t="s">
        <v>100</v>
      </c>
      <c r="K133" s="218" t="s">
        <v>451</v>
      </c>
      <c r="L133" s="218" t="s">
        <v>160</v>
      </c>
    </row>
    <row r="134" spans="1:12">
      <c r="A134" s="217">
        <v>45712</v>
      </c>
      <c r="B134" s="218" t="s">
        <v>570</v>
      </c>
      <c r="C134" s="218" t="s">
        <v>469</v>
      </c>
      <c r="D134" s="218" t="s">
        <v>120</v>
      </c>
      <c r="E134" s="218">
        <v>5100</v>
      </c>
      <c r="F134" s="219">
        <f t="shared" si="4"/>
        <v>8.3086003136415147</v>
      </c>
      <c r="G134" s="220">
        <v>613.82180000000005</v>
      </c>
      <c r="H134" s="77" t="s">
        <v>196</v>
      </c>
      <c r="I134" s="77" t="s">
        <v>571</v>
      </c>
      <c r="J134" s="218" t="s">
        <v>100</v>
      </c>
      <c r="K134" s="218" t="s">
        <v>451</v>
      </c>
      <c r="L134" s="218" t="s">
        <v>160</v>
      </c>
    </row>
    <row r="135" spans="1:12">
      <c r="A135" s="217">
        <v>45712</v>
      </c>
      <c r="B135" s="269" t="s">
        <v>978</v>
      </c>
      <c r="C135" s="218" t="s">
        <v>188</v>
      </c>
      <c r="D135" s="218" t="s">
        <v>121</v>
      </c>
      <c r="E135" s="218">
        <v>8100</v>
      </c>
      <c r="F135" s="219">
        <f t="shared" si="4"/>
        <v>13.196012262842407</v>
      </c>
      <c r="G135" s="220">
        <v>613.82180000000005</v>
      </c>
      <c r="H135" s="77" t="s">
        <v>199</v>
      </c>
      <c r="I135" s="77" t="s">
        <v>737</v>
      </c>
      <c r="J135" s="218" t="s">
        <v>100</v>
      </c>
      <c r="K135" s="218" t="s">
        <v>451</v>
      </c>
      <c r="L135" s="218" t="s">
        <v>160</v>
      </c>
    </row>
    <row r="136" spans="1:12">
      <c r="A136" s="217">
        <v>45712</v>
      </c>
      <c r="B136" s="218" t="s">
        <v>269</v>
      </c>
      <c r="C136" s="218" t="s">
        <v>183</v>
      </c>
      <c r="D136" s="218" t="s">
        <v>206</v>
      </c>
      <c r="E136" s="218">
        <v>9800</v>
      </c>
      <c r="F136" s="219">
        <f t="shared" si="4"/>
        <v>15.965545700722911</v>
      </c>
      <c r="G136" s="220">
        <v>613.82180000000005</v>
      </c>
      <c r="H136" s="77" t="s">
        <v>220</v>
      </c>
      <c r="I136" s="77" t="s">
        <v>540</v>
      </c>
      <c r="J136" s="218" t="s">
        <v>100</v>
      </c>
      <c r="K136" s="218" t="s">
        <v>451</v>
      </c>
      <c r="L136" s="218" t="s">
        <v>160</v>
      </c>
    </row>
    <row r="137" spans="1:12">
      <c r="A137" s="217">
        <v>45713</v>
      </c>
      <c r="B137" s="218" t="s">
        <v>794</v>
      </c>
      <c r="C137" s="218" t="s">
        <v>179</v>
      </c>
      <c r="D137" s="218" t="s">
        <v>122</v>
      </c>
      <c r="E137" s="218">
        <v>7000</v>
      </c>
      <c r="F137" s="219">
        <f t="shared" si="4"/>
        <v>11.403961214802081</v>
      </c>
      <c r="G137" s="220">
        <v>613.82180000000005</v>
      </c>
      <c r="H137" s="77" t="s">
        <v>157</v>
      </c>
      <c r="I137" s="77" t="s">
        <v>795</v>
      </c>
      <c r="J137" s="218" t="s">
        <v>100</v>
      </c>
      <c r="K137" s="218" t="s">
        <v>451</v>
      </c>
      <c r="L137" s="218" t="s">
        <v>160</v>
      </c>
    </row>
    <row r="138" spans="1:12">
      <c r="A138" s="217">
        <v>45713</v>
      </c>
      <c r="B138" s="218" t="s">
        <v>796</v>
      </c>
      <c r="C138" s="218" t="s">
        <v>469</v>
      </c>
      <c r="D138" s="218" t="s">
        <v>122</v>
      </c>
      <c r="E138" s="218">
        <v>150000</v>
      </c>
      <c r="F138" s="219">
        <f t="shared" si="4"/>
        <v>244.37059746004456</v>
      </c>
      <c r="G138" s="220">
        <v>613.82180000000005</v>
      </c>
      <c r="H138" s="77" t="s">
        <v>157</v>
      </c>
      <c r="I138" s="77" t="s">
        <v>797</v>
      </c>
      <c r="J138" s="218" t="s">
        <v>100</v>
      </c>
      <c r="K138" s="218" t="s">
        <v>451</v>
      </c>
      <c r="L138" s="218" t="s">
        <v>160</v>
      </c>
    </row>
    <row r="139" spans="1:12">
      <c r="A139" s="217">
        <v>45713</v>
      </c>
      <c r="B139" s="218" t="s">
        <v>590</v>
      </c>
      <c r="C139" s="218" t="s">
        <v>272</v>
      </c>
      <c r="D139" s="218" t="s">
        <v>206</v>
      </c>
      <c r="E139" s="218">
        <v>180000</v>
      </c>
      <c r="F139" s="219">
        <f t="shared" si="4"/>
        <v>293.24471695205347</v>
      </c>
      <c r="G139" s="220">
        <v>613.82180000000005</v>
      </c>
      <c r="H139" s="77" t="s">
        <v>207</v>
      </c>
      <c r="I139" s="77" t="s">
        <v>591</v>
      </c>
      <c r="J139" s="218" t="s">
        <v>100</v>
      </c>
      <c r="K139" s="218" t="s">
        <v>451</v>
      </c>
      <c r="L139" s="218" t="s">
        <v>160</v>
      </c>
    </row>
    <row r="140" spans="1:12">
      <c r="A140" s="217">
        <v>45713</v>
      </c>
      <c r="B140" s="218" t="s">
        <v>592</v>
      </c>
      <c r="C140" s="218" t="s">
        <v>272</v>
      </c>
      <c r="D140" s="218" t="s">
        <v>206</v>
      </c>
      <c r="E140" s="218">
        <v>20000</v>
      </c>
      <c r="F140" s="219">
        <f t="shared" si="4"/>
        <v>32.582746328005946</v>
      </c>
      <c r="G140" s="220">
        <v>613.82180000000005</v>
      </c>
      <c r="H140" s="77" t="s">
        <v>207</v>
      </c>
      <c r="I140" s="77" t="s">
        <v>593</v>
      </c>
      <c r="J140" s="218" t="s">
        <v>100</v>
      </c>
      <c r="K140" s="218" t="s">
        <v>451</v>
      </c>
      <c r="L140" s="218" t="s">
        <v>160</v>
      </c>
    </row>
    <row r="141" spans="1:12">
      <c r="A141" s="217">
        <v>45713</v>
      </c>
      <c r="B141" s="218" t="s">
        <v>1017</v>
      </c>
      <c r="C141" s="218" t="s">
        <v>469</v>
      </c>
      <c r="D141" s="218" t="s">
        <v>206</v>
      </c>
      <c r="E141" s="218">
        <v>105000</v>
      </c>
      <c r="F141" s="219">
        <f t="shared" si="4"/>
        <v>181.26853794494306</v>
      </c>
      <c r="G141" s="220">
        <v>579.25109999999995</v>
      </c>
      <c r="H141" s="77" t="s">
        <v>190</v>
      </c>
      <c r="I141" s="77" t="s">
        <v>833</v>
      </c>
      <c r="J141" s="218" t="s">
        <v>100</v>
      </c>
      <c r="K141" s="218" t="s">
        <v>209</v>
      </c>
      <c r="L141" s="218" t="s">
        <v>160</v>
      </c>
    </row>
    <row r="142" spans="1:12">
      <c r="A142" s="217">
        <v>45713</v>
      </c>
      <c r="B142" s="218" t="s">
        <v>1018</v>
      </c>
      <c r="C142" s="218" t="s">
        <v>469</v>
      </c>
      <c r="D142" s="218" t="s">
        <v>206</v>
      </c>
      <c r="E142" s="218">
        <v>105000</v>
      </c>
      <c r="F142" s="219">
        <f t="shared" si="4"/>
        <v>181.26853794494306</v>
      </c>
      <c r="G142" s="220">
        <v>579.25109999999995</v>
      </c>
      <c r="H142" s="77" t="s">
        <v>190</v>
      </c>
      <c r="I142" s="77" t="s">
        <v>834</v>
      </c>
      <c r="J142" s="218" t="s">
        <v>100</v>
      </c>
      <c r="K142" s="218" t="s">
        <v>209</v>
      </c>
      <c r="L142" s="218" t="s">
        <v>160</v>
      </c>
    </row>
    <row r="143" spans="1:12">
      <c r="A143" s="217">
        <v>45713</v>
      </c>
      <c r="B143" s="218" t="s">
        <v>989</v>
      </c>
      <c r="C143" s="218" t="s">
        <v>179</v>
      </c>
      <c r="D143" s="218" t="s">
        <v>124</v>
      </c>
      <c r="E143" s="218">
        <v>7000</v>
      </c>
      <c r="F143" s="219">
        <f t="shared" si="4"/>
        <v>11.403961214802081</v>
      </c>
      <c r="G143" s="220">
        <v>613.82180000000005</v>
      </c>
      <c r="H143" s="77" t="s">
        <v>327</v>
      </c>
      <c r="I143" s="77" t="s">
        <v>957</v>
      </c>
      <c r="J143" s="218" t="s">
        <v>100</v>
      </c>
      <c r="K143" s="218" t="s">
        <v>451</v>
      </c>
      <c r="L143" s="218" t="s">
        <v>160</v>
      </c>
    </row>
    <row r="144" spans="1:12">
      <c r="A144" s="217">
        <v>45713</v>
      </c>
      <c r="B144" s="218" t="s">
        <v>894</v>
      </c>
      <c r="C144" s="218" t="s">
        <v>183</v>
      </c>
      <c r="D144" s="218" t="s">
        <v>120</v>
      </c>
      <c r="E144" s="218">
        <v>150000</v>
      </c>
      <c r="F144" s="219">
        <f t="shared" si="4"/>
        <v>244.37059746004456</v>
      </c>
      <c r="G144" s="220">
        <v>613.82180000000005</v>
      </c>
      <c r="H144" s="77" t="s">
        <v>193</v>
      </c>
      <c r="I144" s="77" t="s">
        <v>895</v>
      </c>
      <c r="J144" s="218" t="s">
        <v>100</v>
      </c>
      <c r="K144" s="218" t="s">
        <v>451</v>
      </c>
      <c r="L144" s="218" t="s">
        <v>160</v>
      </c>
    </row>
    <row r="145" spans="1:12">
      <c r="A145" s="217">
        <v>45713</v>
      </c>
      <c r="B145" s="218" t="s">
        <v>541</v>
      </c>
      <c r="C145" s="218" t="s">
        <v>183</v>
      </c>
      <c r="D145" s="218" t="s">
        <v>123</v>
      </c>
      <c r="E145" s="218">
        <v>150000</v>
      </c>
      <c r="F145" s="219">
        <f t="shared" si="4"/>
        <v>244.37059746004456</v>
      </c>
      <c r="G145" s="220">
        <v>613.82180000000005</v>
      </c>
      <c r="H145" s="77" t="s">
        <v>220</v>
      </c>
      <c r="I145" s="77" t="s">
        <v>542</v>
      </c>
      <c r="J145" s="218" t="s">
        <v>100</v>
      </c>
      <c r="K145" s="218" t="s">
        <v>451</v>
      </c>
      <c r="L145" s="218" t="s">
        <v>160</v>
      </c>
    </row>
    <row r="146" spans="1:12">
      <c r="A146" s="217">
        <v>45714</v>
      </c>
      <c r="B146" s="218" t="s">
        <v>752</v>
      </c>
      <c r="C146" s="218" t="s">
        <v>263</v>
      </c>
      <c r="D146" s="218" t="s">
        <v>120</v>
      </c>
      <c r="E146" s="218">
        <v>148000</v>
      </c>
      <c r="F146" s="219">
        <f t="shared" si="4"/>
        <v>241.11232282724399</v>
      </c>
      <c r="G146" s="220">
        <v>613.82180000000005</v>
      </c>
      <c r="H146" s="77" t="s">
        <v>162</v>
      </c>
      <c r="I146" s="77" t="s">
        <v>753</v>
      </c>
      <c r="J146" s="218" t="s">
        <v>100</v>
      </c>
      <c r="K146" s="218" t="s">
        <v>451</v>
      </c>
      <c r="L146" s="218" t="s">
        <v>160</v>
      </c>
    </row>
    <row r="147" spans="1:12">
      <c r="A147" s="217">
        <v>45714</v>
      </c>
      <c r="B147" s="218" t="s">
        <v>716</v>
      </c>
      <c r="C147" s="218" t="s">
        <v>188</v>
      </c>
      <c r="D147" s="218" t="s">
        <v>121</v>
      </c>
      <c r="E147" s="218">
        <v>10980</v>
      </c>
      <c r="F147" s="219">
        <f t="shared" si="4"/>
        <v>17.887927734075262</v>
      </c>
      <c r="G147" s="220">
        <v>613.82180000000005</v>
      </c>
      <c r="H147" s="77" t="s">
        <v>671</v>
      </c>
      <c r="I147" s="77" t="s">
        <v>751</v>
      </c>
      <c r="J147" s="218" t="s">
        <v>100</v>
      </c>
      <c r="K147" s="218" t="s">
        <v>451</v>
      </c>
      <c r="L147" s="218" t="s">
        <v>160</v>
      </c>
    </row>
    <row r="148" spans="1:12">
      <c r="A148" s="217">
        <v>45714</v>
      </c>
      <c r="B148" s="218" t="s">
        <v>1000</v>
      </c>
      <c r="C148" s="218" t="s">
        <v>183</v>
      </c>
      <c r="D148" s="218" t="s">
        <v>124</v>
      </c>
      <c r="E148" s="218">
        <v>20000</v>
      </c>
      <c r="F148" s="219">
        <f t="shared" si="4"/>
        <v>32.582746328005946</v>
      </c>
      <c r="G148" s="220">
        <v>613.82180000000005</v>
      </c>
      <c r="H148" s="77" t="s">
        <v>327</v>
      </c>
      <c r="I148" s="77" t="s">
        <v>958</v>
      </c>
      <c r="J148" s="218" t="s">
        <v>100</v>
      </c>
      <c r="K148" s="218" t="s">
        <v>451</v>
      </c>
      <c r="L148" s="218" t="s">
        <v>160</v>
      </c>
    </row>
    <row r="149" spans="1:12">
      <c r="A149" s="217">
        <v>45714</v>
      </c>
      <c r="B149" s="218" t="s">
        <v>877</v>
      </c>
      <c r="C149" s="218" t="s">
        <v>179</v>
      </c>
      <c r="D149" s="218" t="s">
        <v>124</v>
      </c>
      <c r="E149" s="218">
        <v>40100</v>
      </c>
      <c r="F149" s="219">
        <f t="shared" si="4"/>
        <v>65.32840638765191</v>
      </c>
      <c r="G149" s="220">
        <v>613.82180000000005</v>
      </c>
      <c r="H149" s="77" t="s">
        <v>333</v>
      </c>
      <c r="I149" s="77" t="s">
        <v>878</v>
      </c>
      <c r="J149" s="218" t="s">
        <v>100</v>
      </c>
      <c r="K149" s="218" t="s">
        <v>451</v>
      </c>
      <c r="L149" s="218" t="s">
        <v>160</v>
      </c>
    </row>
    <row r="150" spans="1:12">
      <c r="A150" s="217">
        <v>45714</v>
      </c>
      <c r="B150" s="218" t="s">
        <v>573</v>
      </c>
      <c r="C150" s="218" t="s">
        <v>297</v>
      </c>
      <c r="D150" s="218" t="s">
        <v>120</v>
      </c>
      <c r="E150" s="218">
        <v>4000</v>
      </c>
      <c r="F150" s="219">
        <f t="shared" si="4"/>
        <v>6.9054681121883075</v>
      </c>
      <c r="G150" s="220">
        <v>579.25109999999995</v>
      </c>
      <c r="H150" s="77" t="s">
        <v>196</v>
      </c>
      <c r="I150" s="77" t="s">
        <v>574</v>
      </c>
      <c r="J150" s="218" t="s">
        <v>100</v>
      </c>
      <c r="K150" s="218" t="s">
        <v>209</v>
      </c>
      <c r="L150" s="218" t="s">
        <v>160</v>
      </c>
    </row>
    <row r="151" spans="1:12">
      <c r="A151" s="385">
        <v>45715</v>
      </c>
      <c r="B151" s="218" t="s">
        <v>757</v>
      </c>
      <c r="C151" s="218" t="s">
        <v>312</v>
      </c>
      <c r="D151" s="218" t="s">
        <v>121</v>
      </c>
      <c r="E151" s="218">
        <v>20000</v>
      </c>
      <c r="F151" s="219">
        <f t="shared" si="4"/>
        <v>34.527340560941539</v>
      </c>
      <c r="G151" s="220">
        <v>579.25109999999995</v>
      </c>
      <c r="H151" s="77" t="s">
        <v>162</v>
      </c>
      <c r="I151" s="77" t="s">
        <v>758</v>
      </c>
      <c r="J151" s="218" t="s">
        <v>100</v>
      </c>
      <c r="K151" s="218" t="s">
        <v>209</v>
      </c>
      <c r="L151" s="218" t="s">
        <v>160</v>
      </c>
    </row>
    <row r="152" spans="1:12">
      <c r="A152" s="217">
        <v>45715</v>
      </c>
      <c r="B152" s="218" t="s">
        <v>960</v>
      </c>
      <c r="C152" s="218" t="s">
        <v>376</v>
      </c>
      <c r="D152" s="218" t="s">
        <v>124</v>
      </c>
      <c r="E152" s="218">
        <v>29000</v>
      </c>
      <c r="F152" s="219">
        <f t="shared" si="4"/>
        <v>50.06464381336523</v>
      </c>
      <c r="G152" s="220">
        <v>579.25109999999995</v>
      </c>
      <c r="H152" s="77" t="s">
        <v>327</v>
      </c>
      <c r="I152" s="77" t="s">
        <v>961</v>
      </c>
      <c r="J152" s="218" t="s">
        <v>100</v>
      </c>
      <c r="K152" s="218" t="s">
        <v>209</v>
      </c>
      <c r="L152" s="218" t="s">
        <v>160</v>
      </c>
    </row>
    <row r="153" spans="1:12">
      <c r="A153" s="217">
        <v>45715</v>
      </c>
      <c r="B153" s="218" t="s">
        <v>923</v>
      </c>
      <c r="C153" s="218" t="s">
        <v>179</v>
      </c>
      <c r="D153" s="218" t="s">
        <v>120</v>
      </c>
      <c r="E153" s="218">
        <v>26900</v>
      </c>
      <c r="F153" s="219">
        <f t="shared" si="4"/>
        <v>46.439273054466369</v>
      </c>
      <c r="G153" s="220">
        <v>579.25109999999995</v>
      </c>
      <c r="H153" s="77" t="s">
        <v>199</v>
      </c>
      <c r="I153" s="77" t="s">
        <v>924</v>
      </c>
      <c r="J153" s="218" t="s">
        <v>100</v>
      </c>
      <c r="K153" s="218" t="s">
        <v>209</v>
      </c>
      <c r="L153" s="218" t="s">
        <v>160</v>
      </c>
    </row>
    <row r="154" spans="1:12">
      <c r="A154" s="217">
        <v>45715</v>
      </c>
      <c r="B154" s="218" t="s">
        <v>759</v>
      </c>
      <c r="C154" s="218" t="s">
        <v>188</v>
      </c>
      <c r="D154" s="218" t="s">
        <v>121</v>
      </c>
      <c r="E154" s="218">
        <v>560</v>
      </c>
      <c r="F154" s="219">
        <f t="shared" si="4"/>
        <v>0.93929314835967548</v>
      </c>
      <c r="G154" s="218">
        <v>596.19299999999998</v>
      </c>
      <c r="H154" s="77" t="s">
        <v>199</v>
      </c>
      <c r="I154" s="77" t="s">
        <v>760</v>
      </c>
      <c r="J154" s="218" t="s">
        <v>100</v>
      </c>
      <c r="K154" s="218" t="s">
        <v>159</v>
      </c>
      <c r="L154" s="218" t="s">
        <v>160</v>
      </c>
    </row>
    <row r="155" spans="1:12">
      <c r="A155" s="217">
        <v>45715</v>
      </c>
      <c r="B155" s="218" t="s">
        <v>807</v>
      </c>
      <c r="C155" s="218" t="s">
        <v>179</v>
      </c>
      <c r="D155" s="218" t="s">
        <v>121</v>
      </c>
      <c r="E155" s="218">
        <v>7000</v>
      </c>
      <c r="F155" s="219">
        <f t="shared" si="4"/>
        <v>11.741164354495943</v>
      </c>
      <c r="G155" s="218">
        <v>596.19299999999998</v>
      </c>
      <c r="H155" s="77" t="s">
        <v>671</v>
      </c>
      <c r="I155" s="77" t="s">
        <v>808</v>
      </c>
      <c r="J155" s="218" t="s">
        <v>100</v>
      </c>
      <c r="K155" s="218" t="s">
        <v>159</v>
      </c>
      <c r="L155" s="218" t="s">
        <v>160</v>
      </c>
    </row>
    <row r="156" spans="1:12">
      <c r="A156" s="217">
        <v>45716</v>
      </c>
      <c r="B156" s="218" t="s">
        <v>799</v>
      </c>
      <c r="C156" s="218" t="s">
        <v>179</v>
      </c>
      <c r="D156" s="218" t="s">
        <v>122</v>
      </c>
      <c r="E156" s="218">
        <v>39500</v>
      </c>
      <c r="F156" s="219">
        <f t="shared" si="4"/>
        <v>68.191497607859532</v>
      </c>
      <c r="G156" s="220">
        <v>579.25109999999995</v>
      </c>
      <c r="H156" s="77" t="s">
        <v>157</v>
      </c>
      <c r="I156" s="77" t="s">
        <v>800</v>
      </c>
      <c r="J156" s="218" t="s">
        <v>100</v>
      </c>
      <c r="K156" s="218" t="s">
        <v>209</v>
      </c>
      <c r="L156" s="218" t="s">
        <v>160</v>
      </c>
    </row>
    <row r="157" spans="1:12">
      <c r="A157" s="217">
        <v>45716</v>
      </c>
      <c r="B157" s="218" t="s">
        <v>595</v>
      </c>
      <c r="C157" s="218" t="s">
        <v>179</v>
      </c>
      <c r="D157" s="218" t="s">
        <v>120</v>
      </c>
      <c r="E157" s="218">
        <v>14000</v>
      </c>
      <c r="F157" s="219">
        <f t="shared" si="4"/>
        <v>24.169138392659075</v>
      </c>
      <c r="G157" s="220">
        <v>579.25109999999995</v>
      </c>
      <c r="H157" s="77" t="s">
        <v>207</v>
      </c>
      <c r="I157" s="77" t="s">
        <v>596</v>
      </c>
      <c r="J157" s="218" t="s">
        <v>100</v>
      </c>
      <c r="K157" s="218" t="s">
        <v>209</v>
      </c>
      <c r="L157" s="218" t="s">
        <v>160</v>
      </c>
    </row>
    <row r="158" spans="1:12">
      <c r="A158" s="217">
        <v>45716</v>
      </c>
      <c r="B158" s="218" t="s">
        <v>802</v>
      </c>
      <c r="C158" s="218" t="s">
        <v>179</v>
      </c>
      <c r="D158" s="218" t="s">
        <v>121</v>
      </c>
      <c r="E158" s="218">
        <v>35500</v>
      </c>
      <c r="F158" s="219">
        <f t="shared" si="4"/>
        <v>61.286029495671229</v>
      </c>
      <c r="G158" s="220">
        <v>579.25109999999995</v>
      </c>
      <c r="H158" s="77" t="s">
        <v>162</v>
      </c>
      <c r="I158" s="77" t="s">
        <v>803</v>
      </c>
      <c r="J158" s="218" t="s">
        <v>100</v>
      </c>
      <c r="K158" s="218" t="s">
        <v>209</v>
      </c>
      <c r="L158" s="218" t="s">
        <v>160</v>
      </c>
    </row>
    <row r="159" spans="1:12">
      <c r="A159" s="217">
        <v>45716</v>
      </c>
      <c r="B159" s="218" t="s">
        <v>761</v>
      </c>
      <c r="C159" s="218" t="s">
        <v>312</v>
      </c>
      <c r="D159" s="218" t="s">
        <v>121</v>
      </c>
      <c r="E159" s="218">
        <v>6000</v>
      </c>
      <c r="F159" s="219">
        <f t="shared" si="4"/>
        <v>10.35820216828246</v>
      </c>
      <c r="G159" s="220">
        <v>579.25109999999995</v>
      </c>
      <c r="H159" s="77" t="s">
        <v>162</v>
      </c>
      <c r="I159" s="77" t="s">
        <v>762</v>
      </c>
      <c r="J159" s="218" t="s">
        <v>100</v>
      </c>
      <c r="K159" s="218" t="s">
        <v>209</v>
      </c>
      <c r="L159" s="218" t="s">
        <v>160</v>
      </c>
    </row>
    <row r="160" spans="1:12">
      <c r="A160" s="217">
        <v>45716</v>
      </c>
      <c r="B160" s="218" t="s">
        <v>767</v>
      </c>
      <c r="C160" s="218" t="s">
        <v>768</v>
      </c>
      <c r="D160" s="218" t="s">
        <v>121</v>
      </c>
      <c r="E160" s="218">
        <v>45050</v>
      </c>
      <c r="F160" s="219">
        <f t="shared" si="4"/>
        <v>77.772834613520814</v>
      </c>
      <c r="G160" s="220">
        <v>579.25109999999995</v>
      </c>
      <c r="H160" s="77" t="s">
        <v>162</v>
      </c>
      <c r="I160" s="77" t="s">
        <v>769</v>
      </c>
      <c r="J160" s="218" t="s">
        <v>100</v>
      </c>
      <c r="K160" s="218" t="s">
        <v>209</v>
      </c>
      <c r="L160" s="218" t="s">
        <v>160</v>
      </c>
    </row>
    <row r="161" spans="1:12">
      <c r="A161" s="217">
        <v>45716</v>
      </c>
      <c r="B161" s="218" t="s">
        <v>772</v>
      </c>
      <c r="C161" s="218" t="s">
        <v>177</v>
      </c>
      <c r="D161" s="218" t="s">
        <v>121</v>
      </c>
      <c r="E161" s="218">
        <v>182000</v>
      </c>
      <c r="F161" s="219">
        <f t="shared" si="4"/>
        <v>314.19879910456797</v>
      </c>
      <c r="G161" s="220">
        <v>579.25109999999995</v>
      </c>
      <c r="H161" s="77" t="s">
        <v>162</v>
      </c>
      <c r="I161" s="77" t="s">
        <v>773</v>
      </c>
      <c r="J161" s="218" t="s">
        <v>100</v>
      </c>
      <c r="K161" s="218" t="s">
        <v>209</v>
      </c>
      <c r="L161" s="218" t="s">
        <v>160</v>
      </c>
    </row>
    <row r="162" spans="1:12">
      <c r="A162" s="217">
        <v>45716</v>
      </c>
      <c r="B162" s="218" t="s">
        <v>774</v>
      </c>
      <c r="C162" s="218" t="s">
        <v>130</v>
      </c>
      <c r="D162" s="218" t="s">
        <v>121</v>
      </c>
      <c r="E162" s="218">
        <v>10500</v>
      </c>
      <c r="F162" s="219">
        <f t="shared" ref="F162:F193" si="5">E162/G162</f>
        <v>18.126853794494306</v>
      </c>
      <c r="G162" s="220">
        <v>579.25109999999995</v>
      </c>
      <c r="H162" s="77" t="s">
        <v>162</v>
      </c>
      <c r="I162" s="77" t="s">
        <v>775</v>
      </c>
      <c r="J162" s="218" t="s">
        <v>100</v>
      </c>
      <c r="K162" s="218" t="s">
        <v>209</v>
      </c>
      <c r="L162" s="218" t="s">
        <v>160</v>
      </c>
    </row>
    <row r="163" spans="1:12">
      <c r="A163" s="217">
        <v>45716</v>
      </c>
      <c r="B163" s="218" t="s">
        <v>765</v>
      </c>
      <c r="C163" s="218" t="s">
        <v>188</v>
      </c>
      <c r="D163" s="218" t="s">
        <v>121</v>
      </c>
      <c r="E163" s="218">
        <v>7020</v>
      </c>
      <c r="F163" s="219">
        <f t="shared" si="5"/>
        <v>12.119096536890479</v>
      </c>
      <c r="G163" s="220">
        <v>579.25109999999995</v>
      </c>
      <c r="H163" s="222" t="s">
        <v>671</v>
      </c>
      <c r="I163" s="224" t="s">
        <v>766</v>
      </c>
      <c r="J163" s="218" t="s">
        <v>100</v>
      </c>
      <c r="K163" s="218" t="s">
        <v>209</v>
      </c>
      <c r="L163" s="218" t="s">
        <v>160</v>
      </c>
    </row>
    <row r="164" spans="1:12">
      <c r="A164" s="217">
        <v>45716</v>
      </c>
      <c r="B164" s="218" t="s">
        <v>770</v>
      </c>
      <c r="C164" s="218" t="s">
        <v>312</v>
      </c>
      <c r="D164" s="218" t="s">
        <v>121</v>
      </c>
      <c r="E164" s="218">
        <v>75625</v>
      </c>
      <c r="F164" s="219">
        <f t="shared" si="5"/>
        <v>130.55650649606019</v>
      </c>
      <c r="G164" s="220">
        <v>579.25109999999995</v>
      </c>
      <c r="H164" s="222" t="s">
        <v>671</v>
      </c>
      <c r="I164" s="224" t="s">
        <v>771</v>
      </c>
      <c r="J164" s="218" t="s">
        <v>100</v>
      </c>
      <c r="K164" s="218" t="s">
        <v>209</v>
      </c>
      <c r="L164" s="218" t="s">
        <v>160</v>
      </c>
    </row>
    <row r="165" spans="1:12" ht="15.5">
      <c r="A165" s="217">
        <v>45716</v>
      </c>
      <c r="B165" s="218" t="s">
        <v>1002</v>
      </c>
      <c r="C165" s="218" t="s">
        <v>179</v>
      </c>
      <c r="D165" s="218" t="s">
        <v>124</v>
      </c>
      <c r="E165" s="218">
        <v>6000</v>
      </c>
      <c r="F165" s="219">
        <f t="shared" si="5"/>
        <v>10.35820216828246</v>
      </c>
      <c r="G165" s="220">
        <v>579.25109999999995</v>
      </c>
      <c r="H165" s="250" t="s">
        <v>190</v>
      </c>
      <c r="I165" s="250" t="s">
        <v>835</v>
      </c>
      <c r="J165" s="218" t="s">
        <v>100</v>
      </c>
      <c r="K165" s="218" t="s">
        <v>209</v>
      </c>
      <c r="L165" s="218" t="s">
        <v>160</v>
      </c>
    </row>
    <row r="166" spans="1:12" ht="15.5">
      <c r="A166" s="217">
        <v>45716</v>
      </c>
      <c r="B166" s="218" t="s">
        <v>1007</v>
      </c>
      <c r="C166" s="218" t="s">
        <v>183</v>
      </c>
      <c r="D166" s="218" t="s">
        <v>124</v>
      </c>
      <c r="E166" s="218">
        <v>60000</v>
      </c>
      <c r="F166" s="219">
        <f t="shared" si="5"/>
        <v>103.5820216828246</v>
      </c>
      <c r="G166" s="220">
        <v>579.25109999999995</v>
      </c>
      <c r="H166" s="250" t="s">
        <v>190</v>
      </c>
      <c r="I166" s="250" t="s">
        <v>836</v>
      </c>
      <c r="J166" s="218" t="s">
        <v>100</v>
      </c>
      <c r="K166" s="218" t="s">
        <v>209</v>
      </c>
      <c r="L166" s="218" t="s">
        <v>160</v>
      </c>
    </row>
    <row r="167" spans="1:12" ht="15.5">
      <c r="A167" s="217">
        <v>45716</v>
      </c>
      <c r="B167" s="218" t="s">
        <v>837</v>
      </c>
      <c r="C167" s="218" t="s">
        <v>179</v>
      </c>
      <c r="D167" s="218" t="s">
        <v>124</v>
      </c>
      <c r="E167" s="218">
        <v>66800</v>
      </c>
      <c r="F167" s="219">
        <f t="shared" si="5"/>
        <v>115.32131747354472</v>
      </c>
      <c r="G167" s="220">
        <v>579.25109999999995</v>
      </c>
      <c r="H167" s="250" t="s">
        <v>190</v>
      </c>
      <c r="I167" s="250" t="s">
        <v>838</v>
      </c>
      <c r="J167" s="218" t="s">
        <v>100</v>
      </c>
      <c r="K167" s="218" t="s">
        <v>209</v>
      </c>
      <c r="L167" s="218" t="s">
        <v>160</v>
      </c>
    </row>
    <row r="168" spans="1:12">
      <c r="A168" s="217">
        <v>45716</v>
      </c>
      <c r="B168" s="218" t="s">
        <v>1011</v>
      </c>
      <c r="C168" s="218" t="s">
        <v>469</v>
      </c>
      <c r="D168" s="218" t="s">
        <v>124</v>
      </c>
      <c r="E168" s="218">
        <v>60000</v>
      </c>
      <c r="F168" s="219">
        <f t="shared" si="5"/>
        <v>103.5820216828246</v>
      </c>
      <c r="G168" s="220">
        <v>579.25109999999995</v>
      </c>
      <c r="H168" s="351" t="s">
        <v>181</v>
      </c>
      <c r="I168" s="77" t="s">
        <v>856</v>
      </c>
      <c r="J168" s="218" t="s">
        <v>100</v>
      </c>
      <c r="K168" s="218" t="s">
        <v>209</v>
      </c>
      <c r="L168" s="218" t="s">
        <v>160</v>
      </c>
    </row>
    <row r="169" spans="1:12">
      <c r="A169" s="217">
        <v>45716</v>
      </c>
      <c r="B169" s="218" t="s">
        <v>1013</v>
      </c>
      <c r="C169" s="218" t="s">
        <v>179</v>
      </c>
      <c r="D169" s="218" t="s">
        <v>124</v>
      </c>
      <c r="E169" s="218">
        <v>6000</v>
      </c>
      <c r="F169" s="219">
        <f t="shared" si="5"/>
        <v>10.35820216828246</v>
      </c>
      <c r="G169" s="220">
        <v>579.25109999999995</v>
      </c>
      <c r="H169" s="351" t="s">
        <v>181</v>
      </c>
      <c r="I169" s="77" t="s">
        <v>857</v>
      </c>
      <c r="J169" s="218" t="s">
        <v>100</v>
      </c>
      <c r="K169" s="218" t="s">
        <v>209</v>
      </c>
      <c r="L169" s="218" t="s">
        <v>160</v>
      </c>
    </row>
    <row r="170" spans="1:12">
      <c r="A170" s="217">
        <v>45716</v>
      </c>
      <c r="B170" s="218" t="s">
        <v>858</v>
      </c>
      <c r="C170" s="218" t="s">
        <v>179</v>
      </c>
      <c r="D170" s="218" t="s">
        <v>124</v>
      </c>
      <c r="E170" s="218">
        <v>53700</v>
      </c>
      <c r="F170" s="219">
        <f t="shared" si="5"/>
        <v>92.705909406128029</v>
      </c>
      <c r="G170" s="220">
        <v>579.25109999999995</v>
      </c>
      <c r="H170" s="351" t="s">
        <v>181</v>
      </c>
      <c r="I170" s="77" t="s">
        <v>859</v>
      </c>
      <c r="J170" s="218" t="s">
        <v>100</v>
      </c>
      <c r="K170" s="218" t="s">
        <v>209</v>
      </c>
      <c r="L170" s="218" t="s">
        <v>160</v>
      </c>
    </row>
    <row r="171" spans="1:12">
      <c r="A171" s="217">
        <v>45716</v>
      </c>
      <c r="B171" s="218" t="s">
        <v>995</v>
      </c>
      <c r="C171" s="218" t="s">
        <v>183</v>
      </c>
      <c r="D171" s="218" t="s">
        <v>124</v>
      </c>
      <c r="E171" s="218">
        <v>30000</v>
      </c>
      <c r="F171" s="219">
        <f t="shared" si="5"/>
        <v>51.791010841412302</v>
      </c>
      <c r="G171" s="220">
        <v>579.25109999999995</v>
      </c>
      <c r="H171" s="259" t="s">
        <v>327</v>
      </c>
      <c r="I171" s="77" t="s">
        <v>962</v>
      </c>
      <c r="J171" s="218" t="s">
        <v>100</v>
      </c>
      <c r="K171" s="218" t="s">
        <v>209</v>
      </c>
      <c r="L171" s="218" t="s">
        <v>160</v>
      </c>
    </row>
    <row r="172" spans="1:12">
      <c r="A172" s="217">
        <v>45716</v>
      </c>
      <c r="B172" s="218" t="s">
        <v>989</v>
      </c>
      <c r="C172" s="218" t="s">
        <v>179</v>
      </c>
      <c r="D172" s="218" t="s">
        <v>124</v>
      </c>
      <c r="E172" s="218">
        <v>7000</v>
      </c>
      <c r="F172" s="219">
        <f t="shared" si="5"/>
        <v>12.084569196329538</v>
      </c>
      <c r="G172" s="220">
        <v>579.25109999999995</v>
      </c>
      <c r="H172" s="259" t="s">
        <v>327</v>
      </c>
      <c r="I172" s="77" t="s">
        <v>963</v>
      </c>
      <c r="J172" s="218" t="s">
        <v>100</v>
      </c>
      <c r="K172" s="218" t="s">
        <v>209</v>
      </c>
      <c r="L172" s="218" t="s">
        <v>160</v>
      </c>
    </row>
    <row r="173" spans="1:12">
      <c r="A173" s="217">
        <v>45716</v>
      </c>
      <c r="B173" s="218" t="s">
        <v>964</v>
      </c>
      <c r="C173" s="218" t="s">
        <v>179</v>
      </c>
      <c r="D173" s="218" t="s">
        <v>124</v>
      </c>
      <c r="E173" s="218">
        <v>66500</v>
      </c>
      <c r="F173" s="219">
        <f t="shared" si="5"/>
        <v>114.80340736513061</v>
      </c>
      <c r="G173" s="220">
        <v>579.25109999999995</v>
      </c>
      <c r="H173" s="259" t="s">
        <v>327</v>
      </c>
      <c r="I173" s="77" t="s">
        <v>965</v>
      </c>
      <c r="J173" s="218" t="s">
        <v>100</v>
      </c>
      <c r="K173" s="218" t="s">
        <v>209</v>
      </c>
      <c r="L173" s="218" t="s">
        <v>160</v>
      </c>
    </row>
    <row r="174" spans="1:12">
      <c r="A174" s="217">
        <v>45716</v>
      </c>
      <c r="B174" s="218" t="s">
        <v>896</v>
      </c>
      <c r="C174" s="218" t="s">
        <v>319</v>
      </c>
      <c r="D174" s="218" t="s">
        <v>120</v>
      </c>
      <c r="E174" s="218">
        <v>24675</v>
      </c>
      <c r="F174" s="219">
        <f t="shared" si="5"/>
        <v>42.598106417061622</v>
      </c>
      <c r="G174" s="220">
        <v>579.25109999999995</v>
      </c>
      <c r="H174" s="77" t="s">
        <v>193</v>
      </c>
      <c r="I174" s="77" t="s">
        <v>897</v>
      </c>
      <c r="J174" s="218" t="s">
        <v>100</v>
      </c>
      <c r="K174" s="218" t="s">
        <v>209</v>
      </c>
      <c r="L174" s="218" t="s">
        <v>160</v>
      </c>
    </row>
    <row r="175" spans="1:12">
      <c r="A175" s="217">
        <v>45716</v>
      </c>
      <c r="B175" s="218" t="s">
        <v>898</v>
      </c>
      <c r="C175" s="218" t="s">
        <v>179</v>
      </c>
      <c r="D175" s="218" t="s">
        <v>120</v>
      </c>
      <c r="E175" s="218">
        <v>35500</v>
      </c>
      <c r="F175" s="219">
        <f t="shared" si="5"/>
        <v>61.286029495671229</v>
      </c>
      <c r="G175" s="220">
        <v>579.25109999999995</v>
      </c>
      <c r="H175" s="77" t="s">
        <v>193</v>
      </c>
      <c r="I175" s="77" t="s">
        <v>899</v>
      </c>
      <c r="J175" s="218" t="s">
        <v>100</v>
      </c>
      <c r="K175" s="218" t="s">
        <v>209</v>
      </c>
      <c r="L175" s="218" t="s">
        <v>160</v>
      </c>
    </row>
    <row r="176" spans="1:12">
      <c r="A176" s="217">
        <v>45716</v>
      </c>
      <c r="B176" s="218" t="s">
        <v>575</v>
      </c>
      <c r="C176" s="218" t="s">
        <v>297</v>
      </c>
      <c r="D176" s="218" t="s">
        <v>120</v>
      </c>
      <c r="E176" s="218">
        <v>18000</v>
      </c>
      <c r="F176" s="219">
        <f t="shared" si="5"/>
        <v>31.074606504847381</v>
      </c>
      <c r="G176" s="220">
        <v>579.25109999999995</v>
      </c>
      <c r="H176" s="77" t="s">
        <v>196</v>
      </c>
      <c r="I176" s="77" t="s">
        <v>576</v>
      </c>
      <c r="J176" s="218" t="s">
        <v>100</v>
      </c>
      <c r="K176" s="218" t="s">
        <v>209</v>
      </c>
      <c r="L176" s="218" t="s">
        <v>160</v>
      </c>
    </row>
    <row r="177" spans="1:12">
      <c r="A177" s="217">
        <v>45716</v>
      </c>
      <c r="B177" s="218" t="s">
        <v>966</v>
      </c>
      <c r="C177" s="218" t="s">
        <v>179</v>
      </c>
      <c r="D177" s="218" t="s">
        <v>120</v>
      </c>
      <c r="E177" s="218">
        <v>45000</v>
      </c>
      <c r="F177" s="219">
        <f t="shared" si="5"/>
        <v>77.68651626211846</v>
      </c>
      <c r="G177" s="220">
        <v>579.25109999999995</v>
      </c>
      <c r="H177" s="77" t="s">
        <v>196</v>
      </c>
      <c r="I177" s="77" t="s">
        <v>967</v>
      </c>
      <c r="J177" s="218" t="s">
        <v>100</v>
      </c>
      <c r="K177" s="218" t="s">
        <v>209</v>
      </c>
      <c r="L177" s="218" t="s">
        <v>160</v>
      </c>
    </row>
    <row r="178" spans="1:12">
      <c r="A178" s="217">
        <v>45716</v>
      </c>
      <c r="B178" s="218" t="s">
        <v>544</v>
      </c>
      <c r="C178" s="218" t="s">
        <v>183</v>
      </c>
      <c r="D178" s="218" t="s">
        <v>123</v>
      </c>
      <c r="E178" s="218">
        <v>45000</v>
      </c>
      <c r="F178" s="219">
        <f t="shared" si="5"/>
        <v>77.68651626211846</v>
      </c>
      <c r="G178" s="220">
        <v>579.25109999999995</v>
      </c>
      <c r="H178" s="77" t="s">
        <v>220</v>
      </c>
      <c r="I178" s="77" t="s">
        <v>545</v>
      </c>
      <c r="J178" s="218" t="s">
        <v>100</v>
      </c>
      <c r="K178" s="218" t="s">
        <v>209</v>
      </c>
      <c r="L178" s="218" t="s">
        <v>160</v>
      </c>
    </row>
    <row r="179" spans="1:12">
      <c r="A179" s="217">
        <v>45716</v>
      </c>
      <c r="B179" s="218" t="s">
        <v>282</v>
      </c>
      <c r="C179" s="218" t="s">
        <v>179</v>
      </c>
      <c r="D179" s="218" t="s">
        <v>123</v>
      </c>
      <c r="E179" s="218">
        <v>7000</v>
      </c>
      <c r="F179" s="219">
        <f t="shared" si="5"/>
        <v>12.084569196329538</v>
      </c>
      <c r="G179" s="220">
        <v>579.25109999999995</v>
      </c>
      <c r="H179" s="77" t="s">
        <v>220</v>
      </c>
      <c r="I179" s="77" t="s">
        <v>546</v>
      </c>
      <c r="J179" s="218" t="s">
        <v>100</v>
      </c>
      <c r="K179" s="218" t="s">
        <v>209</v>
      </c>
      <c r="L179" s="218" t="s">
        <v>160</v>
      </c>
    </row>
    <row r="180" spans="1:12">
      <c r="A180" s="217">
        <v>45716</v>
      </c>
      <c r="B180" s="218" t="s">
        <v>547</v>
      </c>
      <c r="C180" s="218" t="s">
        <v>179</v>
      </c>
      <c r="D180" s="218" t="s">
        <v>123</v>
      </c>
      <c r="E180" s="218">
        <v>33500</v>
      </c>
      <c r="F180" s="219">
        <f t="shared" si="5"/>
        <v>57.833295439577071</v>
      </c>
      <c r="G180" s="220">
        <v>579.25109999999995</v>
      </c>
      <c r="H180" s="77" t="s">
        <v>220</v>
      </c>
      <c r="I180" s="77" t="s">
        <v>548</v>
      </c>
      <c r="J180" s="218" t="s">
        <v>100</v>
      </c>
      <c r="K180" s="218" t="s">
        <v>209</v>
      </c>
      <c r="L180" s="218" t="s">
        <v>160</v>
      </c>
    </row>
    <row r="181" spans="1:12">
      <c r="A181" s="217">
        <v>45716</v>
      </c>
      <c r="B181" s="218" t="s">
        <v>553</v>
      </c>
      <c r="C181" s="218" t="s">
        <v>325</v>
      </c>
      <c r="D181" s="218" t="s">
        <v>123</v>
      </c>
      <c r="E181" s="218">
        <v>200000</v>
      </c>
      <c r="F181" s="219">
        <f t="shared" si="5"/>
        <v>345.27340560941536</v>
      </c>
      <c r="G181" s="220">
        <v>579.25109999999995</v>
      </c>
      <c r="H181" s="222" t="s">
        <v>220</v>
      </c>
      <c r="I181" s="222" t="s">
        <v>554</v>
      </c>
      <c r="J181" s="218" t="s">
        <v>100</v>
      </c>
      <c r="K181" s="218" t="s">
        <v>209</v>
      </c>
      <c r="L181" s="218" t="s">
        <v>160</v>
      </c>
    </row>
    <row r="182" spans="1:12">
      <c r="K182" s="383"/>
    </row>
    <row r="183" spans="1:12">
      <c r="K183" s="383"/>
    </row>
    <row r="184" spans="1:12">
      <c r="K184" s="383"/>
    </row>
    <row r="185" spans="1:12">
      <c r="K185" s="383"/>
    </row>
    <row r="186" spans="1:12">
      <c r="K186" s="383"/>
    </row>
    <row r="187" spans="1:12">
      <c r="K187" s="383"/>
    </row>
    <row r="188" spans="1:12">
      <c r="K188" s="383"/>
    </row>
    <row r="189" spans="1:12">
      <c r="K189" s="383"/>
    </row>
    <row r="190" spans="1:12">
      <c r="K190" s="383"/>
    </row>
    <row r="191" spans="1:12">
      <c r="K191" s="383"/>
    </row>
    <row r="192" spans="1:12">
      <c r="K192" s="383"/>
    </row>
    <row r="193" spans="11:11">
      <c r="K193" s="383"/>
    </row>
    <row r="194" spans="11:11">
      <c r="K194" s="383"/>
    </row>
    <row r="195" spans="11:11">
      <c r="K195" s="383"/>
    </row>
    <row r="196" spans="11:11">
      <c r="K196" s="383"/>
    </row>
    <row r="197" spans="11:11">
      <c r="K197" s="383"/>
    </row>
    <row r="198" spans="11:11">
      <c r="K198" s="383"/>
    </row>
    <row r="199" spans="11:11">
      <c r="K199" s="383"/>
    </row>
    <row r="200" spans="11:11">
      <c r="K200" s="383"/>
    </row>
    <row r="201" spans="11:11">
      <c r="K201" s="383"/>
    </row>
    <row r="202" spans="11:11">
      <c r="K202" s="383"/>
    </row>
  </sheetData>
  <autoFilter ref="A1:L181">
    <sortState ref="A2:L181">
      <sortCondition ref="A1:A181"/>
    </sortState>
  </autoFilter>
  <dataValidations count="1">
    <dataValidation type="list" allowBlank="1" showInputMessage="1" showErrorMessage="1" sqref="C34 C52"/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'C:\Users\tiffa\OneDrive\Bureau\PALF IMPORTANT OK\Merveille Rapport financier\RAPPORT FINANCIER PALF\2025\Fevrier 2025\[Fichier comptable-Juriste Abraham Février 2025.xlsx]Feuil1'!#REF!</xm:f>
          </x14:formula1>
          <xm:sqref>C141:C146</xm:sqref>
        </x14:dataValidation>
        <x14:dataValidation type="list" allowBlank="1" showInputMessage="1" showErrorMessage="1">
          <x14:formula1>
            <xm:f>'C:\Users\tiffa\OneDrive\Bureau\PALF IMPORTANT OK\Merveille Rapport financier\RAPPORT FINANCIER PALF\2025\Fevrier 2025\[Fichier comptable-Juriste Février Roderlin.xlsx]Feuil1'!#REF!</xm:f>
          </x14:formula1>
          <xm:sqref>C147:C150 C153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workbookViewId="0">
      <selection activeCell="C22" sqref="C22"/>
    </sheetView>
  </sheetViews>
  <sheetFormatPr baseColWidth="10" defaultColWidth="8.75" defaultRowHeight="14"/>
  <cols>
    <col min="1" max="1" width="19.25" customWidth="1"/>
    <col min="2" max="2" width="19.58203125" customWidth="1"/>
    <col min="3" max="3" width="22.08203125" customWidth="1"/>
    <col min="4" max="4" width="19.83203125" customWidth="1"/>
    <col min="5" max="5" width="7.58203125" customWidth="1"/>
    <col min="6" max="6" width="8.58203125" customWidth="1"/>
    <col min="7" max="7" width="11.58203125" customWidth="1"/>
    <col min="8" max="8" width="13.75" customWidth="1"/>
    <col min="9" max="9" width="9.25" customWidth="1"/>
    <col min="10" max="10" width="13.25" customWidth="1"/>
    <col min="11" max="11" width="7.1640625" customWidth="1"/>
    <col min="12" max="12" width="8.1640625" customWidth="1"/>
    <col min="13" max="13" width="9.75" customWidth="1"/>
    <col min="14" max="14" width="12.75" customWidth="1"/>
    <col min="15" max="15" width="9.1640625" customWidth="1"/>
    <col min="16" max="16" width="9.75" customWidth="1"/>
    <col min="17" max="17" width="17.25" customWidth="1"/>
    <col min="18" max="18" width="12.75" customWidth="1"/>
    <col min="19" max="19" width="19.25" customWidth="1"/>
    <col min="20" max="20" width="11.83203125" customWidth="1"/>
    <col min="21" max="63" width="5.75" customWidth="1"/>
    <col min="64" max="88" width="6.75" customWidth="1"/>
    <col min="89" max="89" width="7.75" customWidth="1"/>
    <col min="90" max="90" width="5.4140625" customWidth="1"/>
    <col min="91" max="91" width="11.83203125" bestFit="1" customWidth="1"/>
  </cols>
  <sheetData>
    <row r="2" spans="2:3">
      <c r="B2" s="292" t="s">
        <v>486</v>
      </c>
      <c r="C2" t="s">
        <v>489</v>
      </c>
    </row>
    <row r="3" spans="2:3">
      <c r="B3" s="293" t="s">
        <v>196</v>
      </c>
      <c r="C3" s="384">
        <v>443930</v>
      </c>
    </row>
    <row r="4" spans="2:3">
      <c r="B4" s="293" t="s">
        <v>152</v>
      </c>
      <c r="C4" s="384">
        <v>1187686</v>
      </c>
    </row>
    <row r="5" spans="2:3">
      <c r="B5" s="293" t="s">
        <v>207</v>
      </c>
      <c r="C5" s="384">
        <v>518000</v>
      </c>
    </row>
    <row r="6" spans="2:3">
      <c r="B6" s="293" t="s">
        <v>157</v>
      </c>
      <c r="C6" s="384">
        <v>335452</v>
      </c>
    </row>
    <row r="7" spans="2:3">
      <c r="B7" s="293" t="s">
        <v>220</v>
      </c>
      <c r="C7" s="384">
        <v>884300</v>
      </c>
    </row>
    <row r="8" spans="2:3">
      <c r="B8" s="293" t="s">
        <v>333</v>
      </c>
      <c r="C8" s="384">
        <v>248100</v>
      </c>
    </row>
    <row r="9" spans="2:3">
      <c r="B9" s="293" t="s">
        <v>327</v>
      </c>
      <c r="C9" s="384">
        <v>565000</v>
      </c>
    </row>
    <row r="10" spans="2:3">
      <c r="B10" s="293" t="s">
        <v>162</v>
      </c>
      <c r="C10" s="384">
        <v>1557396</v>
      </c>
    </row>
    <row r="11" spans="2:3">
      <c r="B11" s="293" t="s">
        <v>190</v>
      </c>
      <c r="C11" s="384">
        <v>984300</v>
      </c>
    </row>
    <row r="12" spans="2:3">
      <c r="B12" s="293" t="s">
        <v>671</v>
      </c>
      <c r="C12" s="384">
        <v>135185</v>
      </c>
    </row>
    <row r="13" spans="2:3">
      <c r="B13" s="293" t="s">
        <v>199</v>
      </c>
      <c r="C13" s="384">
        <v>383685</v>
      </c>
    </row>
    <row r="14" spans="2:3">
      <c r="B14" s="293" t="s">
        <v>193</v>
      </c>
      <c r="C14" s="384">
        <v>564175</v>
      </c>
    </row>
    <row r="15" spans="2:3">
      <c r="B15" s="293" t="s">
        <v>181</v>
      </c>
      <c r="C15" s="384">
        <v>629700</v>
      </c>
    </row>
    <row r="16" spans="2:3">
      <c r="B16" s="293" t="s">
        <v>487</v>
      </c>
      <c r="C16" s="384">
        <v>8436909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1"/>
  <sheetViews>
    <sheetView workbookViewId="0">
      <selection activeCell="D16" sqref="D16"/>
    </sheetView>
  </sheetViews>
  <sheetFormatPr baseColWidth="10" defaultColWidth="8.75" defaultRowHeight="14"/>
  <cols>
    <col min="2" max="2" width="22.08203125" customWidth="1"/>
    <col min="3" max="3" width="22.33203125" bestFit="1" customWidth="1"/>
    <col min="4" max="4" width="19.33203125" bestFit="1" customWidth="1"/>
    <col min="5" max="5" width="7.1640625" customWidth="1"/>
    <col min="6" max="6" width="8.58203125" customWidth="1"/>
    <col min="7" max="7" width="11.08203125" bestFit="1" customWidth="1"/>
    <col min="8" max="8" width="13.75" bestFit="1" customWidth="1"/>
    <col min="9" max="9" width="9.33203125" bestFit="1" customWidth="1"/>
    <col min="10" max="10" width="13.25" bestFit="1" customWidth="1"/>
    <col min="11" max="11" width="8.1640625" customWidth="1"/>
    <col min="12" max="12" width="9.75" bestFit="1" customWidth="1"/>
    <col min="13" max="13" width="12.6640625" bestFit="1" customWidth="1"/>
    <col min="14" max="14" width="9.1640625" bestFit="1" customWidth="1"/>
    <col min="15" max="15" width="17.25" bestFit="1" customWidth="1"/>
    <col min="16" max="16" width="12.5" bestFit="1" customWidth="1"/>
    <col min="17" max="17" width="11.83203125" bestFit="1" customWidth="1"/>
  </cols>
  <sheetData>
    <row r="3" spans="2:17">
      <c r="B3" s="292" t="s">
        <v>489</v>
      </c>
      <c r="C3" s="292" t="s">
        <v>485</v>
      </c>
    </row>
    <row r="4" spans="2:17">
      <c r="B4" s="292" t="s">
        <v>486</v>
      </c>
      <c r="C4" t="s">
        <v>272</v>
      </c>
      <c r="D4" t="s">
        <v>325</v>
      </c>
      <c r="E4" t="s">
        <v>768</v>
      </c>
      <c r="F4" t="s">
        <v>297</v>
      </c>
      <c r="G4" t="s">
        <v>263</v>
      </c>
      <c r="H4" t="s">
        <v>177</v>
      </c>
      <c r="I4" t="s">
        <v>130</v>
      </c>
      <c r="J4" t="s">
        <v>129</v>
      </c>
      <c r="K4" t="s">
        <v>312</v>
      </c>
      <c r="L4" t="s">
        <v>156</v>
      </c>
      <c r="M4" t="s">
        <v>188</v>
      </c>
      <c r="N4" t="s">
        <v>179</v>
      </c>
      <c r="O4" t="s">
        <v>183</v>
      </c>
      <c r="P4" t="s">
        <v>379</v>
      </c>
      <c r="Q4" t="s">
        <v>487</v>
      </c>
    </row>
    <row r="5" spans="2:17">
      <c r="B5" s="293" t="s">
        <v>124</v>
      </c>
      <c r="C5" s="384"/>
      <c r="D5" s="384"/>
      <c r="E5" s="384"/>
      <c r="F5" s="384"/>
      <c r="G5" s="384"/>
      <c r="H5" s="384"/>
      <c r="I5" s="384"/>
      <c r="J5" s="384"/>
      <c r="K5" s="384"/>
      <c r="L5" s="384">
        <v>179000</v>
      </c>
      <c r="M5" s="384"/>
      <c r="N5" s="384">
        <v>436600</v>
      </c>
      <c r="O5" s="384">
        <v>1640000</v>
      </c>
      <c r="P5" s="384">
        <v>200500</v>
      </c>
      <c r="Q5" s="384">
        <v>2456100</v>
      </c>
    </row>
    <row r="6" spans="2:17">
      <c r="B6" s="293" t="s">
        <v>120</v>
      </c>
      <c r="C6" s="384"/>
      <c r="D6" s="384"/>
      <c r="E6" s="384"/>
      <c r="F6" s="384">
        <v>42000</v>
      </c>
      <c r="G6" s="384">
        <v>638000</v>
      </c>
      <c r="H6" s="384">
        <v>24675</v>
      </c>
      <c r="I6" s="384">
        <v>120000</v>
      </c>
      <c r="J6" s="384"/>
      <c r="K6" s="384"/>
      <c r="L6" s="384">
        <v>124000</v>
      </c>
      <c r="M6" s="384"/>
      <c r="N6" s="384">
        <v>193400</v>
      </c>
      <c r="O6" s="384">
        <v>1050100</v>
      </c>
      <c r="P6" s="384"/>
      <c r="Q6" s="384">
        <v>2192175</v>
      </c>
    </row>
    <row r="7" spans="2:17">
      <c r="B7" s="293" t="s">
        <v>122</v>
      </c>
      <c r="C7" s="384"/>
      <c r="D7" s="384"/>
      <c r="E7" s="384"/>
      <c r="F7" s="384"/>
      <c r="G7" s="384"/>
      <c r="H7" s="384"/>
      <c r="I7" s="384">
        <v>209964</v>
      </c>
      <c r="J7" s="384"/>
      <c r="K7" s="384"/>
      <c r="L7" s="384">
        <v>77000</v>
      </c>
      <c r="M7" s="384"/>
      <c r="N7" s="384">
        <v>53500</v>
      </c>
      <c r="O7" s="384">
        <v>250000</v>
      </c>
      <c r="P7" s="384"/>
      <c r="Q7" s="384">
        <v>590464</v>
      </c>
    </row>
    <row r="8" spans="2:17">
      <c r="B8" s="293" t="s">
        <v>123</v>
      </c>
      <c r="C8" s="384"/>
      <c r="D8" s="384">
        <v>502000</v>
      </c>
      <c r="E8" s="384"/>
      <c r="F8" s="384"/>
      <c r="G8" s="384"/>
      <c r="H8" s="384"/>
      <c r="I8" s="384">
        <v>30000</v>
      </c>
      <c r="J8" s="384"/>
      <c r="K8" s="384"/>
      <c r="L8" s="384">
        <v>31000</v>
      </c>
      <c r="M8" s="384"/>
      <c r="N8" s="384">
        <v>47500</v>
      </c>
      <c r="O8" s="384">
        <v>325000</v>
      </c>
      <c r="P8" s="384"/>
      <c r="Q8" s="384">
        <v>935500</v>
      </c>
    </row>
    <row r="9" spans="2:17">
      <c r="B9" s="293" t="s">
        <v>121</v>
      </c>
      <c r="C9" s="384"/>
      <c r="D9" s="384"/>
      <c r="E9" s="384">
        <v>45050</v>
      </c>
      <c r="F9" s="384"/>
      <c r="G9" s="384"/>
      <c r="H9" s="384">
        <v>270000</v>
      </c>
      <c r="I9" s="384">
        <v>104930</v>
      </c>
      <c r="J9" s="384">
        <v>500000</v>
      </c>
      <c r="K9" s="384">
        <v>589311</v>
      </c>
      <c r="L9" s="384"/>
      <c r="M9" s="384">
        <v>111079</v>
      </c>
      <c r="N9" s="384">
        <v>42500</v>
      </c>
      <c r="O9" s="384"/>
      <c r="P9" s="384"/>
      <c r="Q9" s="384">
        <v>1662870</v>
      </c>
    </row>
    <row r="10" spans="2:17">
      <c r="B10" s="293" t="s">
        <v>206</v>
      </c>
      <c r="C10" s="384">
        <v>325000</v>
      </c>
      <c r="D10" s="384"/>
      <c r="E10" s="384"/>
      <c r="F10" s="384"/>
      <c r="G10" s="384"/>
      <c r="H10" s="384">
        <v>1500</v>
      </c>
      <c r="I10" s="384"/>
      <c r="J10" s="384"/>
      <c r="K10" s="384"/>
      <c r="L10" s="384"/>
      <c r="M10" s="384"/>
      <c r="N10" s="384">
        <v>25000</v>
      </c>
      <c r="O10" s="384">
        <v>248300</v>
      </c>
      <c r="P10" s="384"/>
      <c r="Q10" s="384">
        <v>599800</v>
      </c>
    </row>
    <row r="11" spans="2:17">
      <c r="B11" s="293" t="s">
        <v>487</v>
      </c>
      <c r="C11" s="384">
        <v>325000</v>
      </c>
      <c r="D11" s="384">
        <v>502000</v>
      </c>
      <c r="E11" s="384">
        <v>45050</v>
      </c>
      <c r="F11" s="384">
        <v>42000</v>
      </c>
      <c r="G11" s="384">
        <v>638000</v>
      </c>
      <c r="H11" s="384">
        <v>296175</v>
      </c>
      <c r="I11" s="384">
        <v>464894</v>
      </c>
      <c r="J11" s="384">
        <v>500000</v>
      </c>
      <c r="K11" s="384">
        <v>589311</v>
      </c>
      <c r="L11" s="384">
        <v>411000</v>
      </c>
      <c r="M11" s="384">
        <v>111079</v>
      </c>
      <c r="N11" s="384">
        <v>798500</v>
      </c>
      <c r="O11" s="384">
        <v>3513400</v>
      </c>
      <c r="P11" s="384">
        <v>200500</v>
      </c>
      <c r="Q11" s="384">
        <v>8436909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7"/>
  <sheetViews>
    <sheetView workbookViewId="0">
      <selection activeCell="C20" sqref="C20"/>
    </sheetView>
  </sheetViews>
  <sheetFormatPr baseColWidth="10" defaultColWidth="11.4140625" defaultRowHeight="14"/>
  <cols>
    <col min="2" max="2" width="19.58203125" bestFit="1" customWidth="1"/>
    <col min="3" max="3" width="15.9140625" customWidth="1"/>
    <col min="4" max="4" width="18.33203125" customWidth="1"/>
  </cols>
  <sheetData>
    <row r="2" spans="2:4">
      <c r="B2" s="292" t="s">
        <v>486</v>
      </c>
      <c r="C2" t="s">
        <v>490</v>
      </c>
      <c r="D2" t="s">
        <v>492</v>
      </c>
    </row>
    <row r="3" spans="2:4">
      <c r="B3" s="293" t="s">
        <v>196</v>
      </c>
      <c r="C3" s="384">
        <v>564830</v>
      </c>
      <c r="D3" s="384"/>
    </row>
    <row r="4" spans="2:4">
      <c r="B4" s="293" t="s">
        <v>152</v>
      </c>
      <c r="C4" s="384"/>
      <c r="D4" s="384">
        <v>8000000</v>
      </c>
    </row>
    <row r="5" spans="2:4">
      <c r="B5" s="293" t="s">
        <v>449</v>
      </c>
      <c r="C5" s="384">
        <v>929000</v>
      </c>
      <c r="D5" s="384">
        <v>300000</v>
      </c>
    </row>
    <row r="6" spans="2:4">
      <c r="B6" s="293" t="s">
        <v>157</v>
      </c>
      <c r="C6" s="384">
        <v>415952</v>
      </c>
      <c r="D6" s="384">
        <v>70000</v>
      </c>
    </row>
    <row r="7" spans="2:4">
      <c r="B7" s="293" t="s">
        <v>220</v>
      </c>
      <c r="C7" s="384">
        <v>881000</v>
      </c>
      <c r="D7" s="384"/>
    </row>
    <row r="8" spans="2:4">
      <c r="B8" s="293" t="s">
        <v>333</v>
      </c>
      <c r="C8" s="384">
        <v>237000</v>
      </c>
      <c r="D8" s="384"/>
    </row>
    <row r="9" spans="2:4">
      <c r="B9" s="293" t="s">
        <v>327</v>
      </c>
      <c r="C9" s="384">
        <v>568000</v>
      </c>
      <c r="D9" s="384"/>
    </row>
    <row r="10" spans="2:4">
      <c r="B10" s="293" t="s">
        <v>162</v>
      </c>
      <c r="C10" s="384">
        <v>1541896</v>
      </c>
      <c r="D10" s="384"/>
    </row>
    <row r="11" spans="2:4">
      <c r="B11" s="293" t="s">
        <v>190</v>
      </c>
      <c r="C11" s="384">
        <v>983000</v>
      </c>
      <c r="D11" s="384"/>
    </row>
    <row r="12" spans="2:4">
      <c r="B12" s="293" t="s">
        <v>671</v>
      </c>
      <c r="C12" s="384">
        <v>148185</v>
      </c>
      <c r="D12" s="384"/>
    </row>
    <row r="13" spans="2:4">
      <c r="B13" s="293" t="s">
        <v>199</v>
      </c>
      <c r="C13" s="384">
        <v>381785</v>
      </c>
      <c r="D13" s="384"/>
    </row>
    <row r="14" spans="2:4">
      <c r="B14" s="293" t="s">
        <v>193</v>
      </c>
      <c r="C14" s="384">
        <v>670000</v>
      </c>
      <c r="D14" s="384"/>
    </row>
    <row r="15" spans="2:4">
      <c r="B15" s="293" t="s">
        <v>181</v>
      </c>
      <c r="C15" s="384">
        <v>895000</v>
      </c>
      <c r="D15" s="384">
        <v>150000</v>
      </c>
    </row>
    <row r="16" spans="2:4">
      <c r="B16" s="293" t="s">
        <v>488</v>
      </c>
      <c r="C16" s="384"/>
      <c r="D16" s="384"/>
    </row>
    <row r="17" spans="2:4">
      <c r="B17" s="293" t="s">
        <v>487</v>
      </c>
      <c r="C17" s="384">
        <v>8215648</v>
      </c>
      <c r="D17" s="384">
        <v>8520000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5"/>
  <sheetViews>
    <sheetView workbookViewId="0">
      <selection activeCell="E6" sqref="E6"/>
    </sheetView>
  </sheetViews>
  <sheetFormatPr baseColWidth="10" defaultColWidth="8.75" defaultRowHeight="14"/>
  <cols>
    <col min="1" max="1" width="16.25" style="70" customWidth="1"/>
    <col min="2" max="2" width="53.1640625" customWidth="1"/>
    <col min="3" max="3" width="15.75" customWidth="1"/>
    <col min="4" max="4" width="17.1640625" customWidth="1"/>
    <col min="5" max="7" width="17.1640625" style="72" customWidth="1"/>
    <col min="8" max="8" width="7.1640625" customWidth="1"/>
    <col min="9" max="9" width="17.1640625" customWidth="1"/>
    <col min="10" max="10" width="20.75" customWidth="1"/>
  </cols>
  <sheetData>
    <row r="1" spans="1:10" ht="14.5">
      <c r="A1" s="74" t="s">
        <v>0</v>
      </c>
      <c r="B1" s="75" t="s">
        <v>1</v>
      </c>
      <c r="C1" s="75" t="s">
        <v>125</v>
      </c>
      <c r="D1" s="75" t="s">
        <v>3</v>
      </c>
      <c r="E1" s="87" t="s">
        <v>29</v>
      </c>
      <c r="F1" s="88" t="s">
        <v>12</v>
      </c>
      <c r="G1" s="88" t="s">
        <v>30</v>
      </c>
      <c r="H1" s="76" t="s">
        <v>10</v>
      </c>
      <c r="I1" s="76" t="s">
        <v>6</v>
      </c>
      <c r="J1" s="176" t="s">
        <v>74</v>
      </c>
    </row>
    <row r="2" spans="1:10">
      <c r="A2" s="201">
        <v>45689</v>
      </c>
      <c r="B2" s="202" t="s">
        <v>510</v>
      </c>
      <c r="C2" s="202"/>
      <c r="D2" s="202"/>
      <c r="E2" s="207"/>
      <c r="F2" s="204"/>
      <c r="G2" s="315">
        <v>15124165</v>
      </c>
      <c r="H2" s="77" t="s">
        <v>152</v>
      </c>
      <c r="I2" s="77"/>
      <c r="J2" s="77"/>
    </row>
    <row r="3" spans="1:10">
      <c r="A3" s="201">
        <v>45692</v>
      </c>
      <c r="B3" s="198" t="s">
        <v>103</v>
      </c>
      <c r="C3" s="198" t="s">
        <v>312</v>
      </c>
      <c r="D3" s="214" t="s">
        <v>121</v>
      </c>
      <c r="E3" s="208">
        <v>260000</v>
      </c>
      <c r="F3" s="204"/>
      <c r="G3" s="172">
        <f t="shared" ref="G3:G11" si="0">+G2+F3-E3</f>
        <v>14864165</v>
      </c>
      <c r="H3" s="77" t="s">
        <v>152</v>
      </c>
      <c r="I3" s="77" t="s">
        <v>511</v>
      </c>
      <c r="J3" s="77"/>
    </row>
    <row r="4" spans="1:10">
      <c r="A4" s="201">
        <v>45693</v>
      </c>
      <c r="B4" s="334" t="s">
        <v>512</v>
      </c>
      <c r="C4" s="211" t="s">
        <v>127</v>
      </c>
      <c r="D4" s="212"/>
      <c r="E4" s="208">
        <v>2000000</v>
      </c>
      <c r="F4" s="204"/>
      <c r="G4" s="172">
        <f t="shared" si="0"/>
        <v>12864165</v>
      </c>
      <c r="H4" s="77" t="s">
        <v>152</v>
      </c>
      <c r="I4" s="77" t="s">
        <v>513</v>
      </c>
      <c r="J4" s="77"/>
    </row>
    <row r="5" spans="1:10" ht="15.5">
      <c r="A5" s="201">
        <v>45693</v>
      </c>
      <c r="B5" s="198" t="s">
        <v>102</v>
      </c>
      <c r="C5" s="382" t="s">
        <v>129</v>
      </c>
      <c r="D5" s="214" t="s">
        <v>121</v>
      </c>
      <c r="E5" s="208">
        <v>500000</v>
      </c>
      <c r="F5" s="204"/>
      <c r="G5" s="172">
        <f t="shared" si="0"/>
        <v>12364165</v>
      </c>
      <c r="H5" s="77" t="s">
        <v>152</v>
      </c>
      <c r="I5" s="77" t="s">
        <v>514</v>
      </c>
      <c r="J5" s="77"/>
    </row>
    <row r="6" spans="1:10">
      <c r="A6" s="201">
        <v>45699</v>
      </c>
      <c r="B6" s="198" t="s">
        <v>515</v>
      </c>
      <c r="C6" s="213" t="s">
        <v>126</v>
      </c>
      <c r="D6" s="212" t="s">
        <v>120</v>
      </c>
      <c r="E6" s="207">
        <v>200000</v>
      </c>
      <c r="F6" s="204"/>
      <c r="G6" s="172">
        <f t="shared" si="0"/>
        <v>12164165</v>
      </c>
      <c r="H6" s="77" t="s">
        <v>152</v>
      </c>
      <c r="I6" s="77" t="s">
        <v>516</v>
      </c>
      <c r="J6" s="77"/>
    </row>
    <row r="7" spans="1:10">
      <c r="A7" s="201">
        <v>45699</v>
      </c>
      <c r="B7" s="334" t="s">
        <v>517</v>
      </c>
      <c r="C7" s="198" t="s">
        <v>127</v>
      </c>
      <c r="D7" s="198"/>
      <c r="E7" s="207">
        <v>2000000</v>
      </c>
      <c r="F7" s="204"/>
      <c r="G7" s="172">
        <f t="shared" si="0"/>
        <v>10164165</v>
      </c>
      <c r="H7" s="77" t="s">
        <v>152</v>
      </c>
      <c r="I7" s="77" t="s">
        <v>518</v>
      </c>
      <c r="J7" s="77"/>
    </row>
    <row r="8" spans="1:10">
      <c r="A8" s="201">
        <v>45701</v>
      </c>
      <c r="B8" s="203" t="s">
        <v>519</v>
      </c>
      <c r="C8" s="211" t="s">
        <v>312</v>
      </c>
      <c r="D8" s="212" t="s">
        <v>121</v>
      </c>
      <c r="E8" s="207">
        <v>227686</v>
      </c>
      <c r="F8" s="204"/>
      <c r="G8" s="172">
        <f t="shared" si="0"/>
        <v>9936479</v>
      </c>
      <c r="H8" s="77" t="s">
        <v>152</v>
      </c>
      <c r="I8" s="77" t="s">
        <v>520</v>
      </c>
      <c r="J8" s="77"/>
    </row>
    <row r="9" spans="1:10">
      <c r="A9" s="201">
        <v>45705</v>
      </c>
      <c r="B9" s="334" t="s">
        <v>521</v>
      </c>
      <c r="C9" s="198" t="s">
        <v>127</v>
      </c>
      <c r="D9" s="198"/>
      <c r="E9" s="207">
        <v>2000000</v>
      </c>
      <c r="F9" s="204"/>
      <c r="G9" s="172">
        <f t="shared" si="0"/>
        <v>7936479</v>
      </c>
      <c r="H9" s="77" t="s">
        <v>152</v>
      </c>
      <c r="I9" s="77" t="s">
        <v>522</v>
      </c>
      <c r="J9" s="77"/>
    </row>
    <row r="10" spans="1:10">
      <c r="A10" s="201">
        <v>45714</v>
      </c>
      <c r="B10" s="334" t="s">
        <v>525</v>
      </c>
      <c r="C10" s="198" t="s">
        <v>127</v>
      </c>
      <c r="D10" s="198"/>
      <c r="E10" s="207">
        <v>2000000</v>
      </c>
      <c r="F10" s="204"/>
      <c r="G10" s="339">
        <f t="shared" si="0"/>
        <v>5936479</v>
      </c>
      <c r="H10" s="77" t="s">
        <v>152</v>
      </c>
      <c r="I10" s="77" t="s">
        <v>526</v>
      </c>
      <c r="J10" s="77"/>
    </row>
    <row r="11" spans="1:10">
      <c r="A11" s="335">
        <v>45714</v>
      </c>
      <c r="B11" s="336" t="s">
        <v>523</v>
      </c>
      <c r="C11" s="336"/>
      <c r="D11" s="337" t="s">
        <v>121</v>
      </c>
      <c r="E11" s="338">
        <v>500000</v>
      </c>
      <c r="F11" s="338"/>
      <c r="G11" s="315">
        <f t="shared" si="0"/>
        <v>5436479</v>
      </c>
      <c r="H11" s="77" t="s">
        <v>152</v>
      </c>
      <c r="I11" s="77" t="s">
        <v>524</v>
      </c>
      <c r="J11" s="77"/>
    </row>
    <row r="12" spans="1:10">
      <c r="A12" s="201"/>
      <c r="B12" s="199"/>
      <c r="C12" s="198"/>
      <c r="D12" s="215"/>
      <c r="E12" s="207"/>
      <c r="F12" s="204"/>
      <c r="G12" s="172"/>
      <c r="H12" s="77" t="s">
        <v>152</v>
      </c>
      <c r="I12" s="77"/>
      <c r="J12" s="77"/>
    </row>
    <row r="13" spans="1:10">
      <c r="A13" s="201"/>
      <c r="B13" s="199"/>
      <c r="C13" s="198"/>
      <c r="D13" s="198"/>
      <c r="E13" s="207"/>
      <c r="F13" s="204"/>
      <c r="G13" s="172"/>
      <c r="H13" s="77" t="s">
        <v>152</v>
      </c>
      <c r="I13" s="77"/>
      <c r="J13" s="77"/>
    </row>
    <row r="14" spans="1:10">
      <c r="A14" s="201"/>
      <c r="B14" s="199"/>
      <c r="C14" s="198"/>
      <c r="D14" s="214"/>
      <c r="E14" s="207"/>
      <c r="F14" s="204"/>
      <c r="G14" s="172"/>
      <c r="H14" s="77" t="s">
        <v>152</v>
      </c>
      <c r="I14" s="77"/>
      <c r="J14" s="77"/>
    </row>
    <row r="15" spans="1:10">
      <c r="A15" s="201"/>
      <c r="B15" s="199"/>
      <c r="C15" s="198"/>
      <c r="D15" s="198"/>
      <c r="E15" s="207"/>
      <c r="F15" s="204"/>
      <c r="G15" s="172"/>
      <c r="H15" s="77" t="s">
        <v>152</v>
      </c>
      <c r="I15" s="77"/>
      <c r="J15" s="77"/>
    </row>
    <row r="16" spans="1:10">
      <c r="A16" s="201"/>
      <c r="B16" s="199"/>
      <c r="C16" s="198"/>
      <c r="D16" s="212"/>
      <c r="E16" s="207"/>
      <c r="F16" s="204"/>
      <c r="G16" s="172"/>
      <c r="H16" s="77" t="s">
        <v>152</v>
      </c>
      <c r="I16" s="77"/>
      <c r="J16" s="77"/>
    </row>
    <row r="17" spans="1:10">
      <c r="A17" s="201"/>
      <c r="B17" s="199"/>
      <c r="C17" s="198"/>
      <c r="D17" s="212"/>
      <c r="E17" s="207"/>
      <c r="F17" s="204"/>
      <c r="G17" s="172"/>
      <c r="H17" s="77" t="s">
        <v>152</v>
      </c>
      <c r="I17" s="77"/>
      <c r="J17" s="77"/>
    </row>
    <row r="18" spans="1:10">
      <c r="A18" s="201"/>
      <c r="B18" s="199"/>
      <c r="C18" s="198"/>
      <c r="D18" s="214"/>
      <c r="E18" s="207"/>
      <c r="F18" s="204"/>
      <c r="G18" s="172"/>
      <c r="H18" s="77" t="s">
        <v>152</v>
      </c>
      <c r="I18" s="77"/>
      <c r="J18" s="77"/>
    </row>
    <row r="19" spans="1:10">
      <c r="A19" s="201"/>
      <c r="B19" s="199"/>
      <c r="C19" s="198"/>
      <c r="D19" s="198"/>
      <c r="E19" s="207"/>
      <c r="F19" s="204"/>
      <c r="G19" s="172"/>
      <c r="H19" s="77" t="s">
        <v>152</v>
      </c>
      <c r="I19" s="77"/>
      <c r="J19" s="77"/>
    </row>
    <row r="20" spans="1:10">
      <c r="A20" s="201"/>
      <c r="B20" s="203"/>
      <c r="C20" s="213"/>
      <c r="D20" s="212"/>
      <c r="E20" s="207"/>
      <c r="F20" s="204"/>
      <c r="G20" s="172"/>
      <c r="H20" s="77" t="s">
        <v>152</v>
      </c>
      <c r="I20" s="77"/>
      <c r="J20" s="77"/>
    </row>
    <row r="21" spans="1:10">
      <c r="A21" s="201"/>
      <c r="B21" s="203"/>
      <c r="C21" s="213"/>
      <c r="D21" s="212"/>
      <c r="E21" s="207"/>
      <c r="F21" s="204"/>
      <c r="G21" s="172"/>
      <c r="H21" s="77" t="s">
        <v>152</v>
      </c>
      <c r="I21" s="77"/>
      <c r="J21" s="77"/>
    </row>
    <row r="22" spans="1:10">
      <c r="A22" s="201"/>
      <c r="B22" s="203"/>
      <c r="C22" s="213"/>
      <c r="D22" s="212"/>
      <c r="E22" s="207"/>
      <c r="F22" s="204"/>
      <c r="G22" s="172"/>
      <c r="H22" s="77" t="s">
        <v>152</v>
      </c>
      <c r="I22" s="77"/>
      <c r="J22" s="77"/>
    </row>
    <row r="23" spans="1:10">
      <c r="A23" s="201"/>
      <c r="B23" s="203"/>
      <c r="C23" s="213"/>
      <c r="D23" s="212"/>
      <c r="E23" s="207"/>
      <c r="F23" s="204"/>
      <c r="G23" s="172"/>
      <c r="H23" s="77" t="s">
        <v>152</v>
      </c>
      <c r="I23" s="77"/>
      <c r="J23" s="77"/>
    </row>
    <row r="24" spans="1:10">
      <c r="A24" s="201"/>
      <c r="B24" s="203"/>
      <c r="C24" s="213"/>
      <c r="D24" s="212"/>
      <c r="E24" s="207"/>
      <c r="F24" s="216"/>
      <c r="G24" s="172"/>
      <c r="H24" s="77" t="s">
        <v>152</v>
      </c>
      <c r="I24" s="77"/>
      <c r="J24" s="77"/>
    </row>
    <row r="25" spans="1:10">
      <c r="A25" s="321"/>
      <c r="B25" s="322"/>
      <c r="C25" s="322"/>
      <c r="D25" s="323"/>
      <c r="E25" s="296">
        <f>SUM(E2:E24)</f>
        <v>9687686</v>
      </c>
      <c r="F25" s="296">
        <f>SUM(F2:F24)</f>
        <v>0</v>
      </c>
      <c r="G25" s="316">
        <f>+F25+G2-E25</f>
        <v>5436479</v>
      </c>
    </row>
  </sheetData>
  <autoFilter ref="A1:I25">
    <sortState ref="A2:I25">
      <sortCondition ref="A1:A25"/>
    </sortState>
  </autoFilter>
  <pageMargins left="0.7" right="0.7" top="0.78740157499999996" bottom="0.78740157499999996" header="0.3" footer="0.3"/>
  <pageSetup paperSize="9" orientation="portrait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topLeftCell="A52" workbookViewId="0">
      <selection activeCell="F60" sqref="F60"/>
    </sheetView>
  </sheetViews>
  <sheetFormatPr baseColWidth="10" defaultColWidth="8.75" defaultRowHeight="14"/>
  <cols>
    <col min="1" max="1" width="16.25" customWidth="1"/>
    <col min="2" max="2" width="77.1640625" customWidth="1"/>
    <col min="3" max="4" width="17.1640625" customWidth="1"/>
    <col min="5" max="7" width="17.1640625" style="72" customWidth="1"/>
    <col min="8" max="9" width="17.1640625" customWidth="1"/>
    <col min="10" max="10" width="23.58203125" customWidth="1"/>
  </cols>
  <sheetData>
    <row r="1" spans="1:10" ht="14.5">
      <c r="A1" s="67" t="s">
        <v>0</v>
      </c>
      <c r="B1" s="68" t="s">
        <v>1</v>
      </c>
      <c r="C1" s="68" t="s">
        <v>3</v>
      </c>
      <c r="D1" s="68" t="s">
        <v>491</v>
      </c>
      <c r="E1" s="89" t="s">
        <v>29</v>
      </c>
      <c r="F1" s="90" t="s">
        <v>12</v>
      </c>
      <c r="G1" s="90" t="s">
        <v>30</v>
      </c>
      <c r="H1" s="69" t="s">
        <v>10</v>
      </c>
      <c r="I1" s="69" t="s">
        <v>6</v>
      </c>
      <c r="J1" s="175" t="s">
        <v>74</v>
      </c>
    </row>
    <row r="2" spans="1:10">
      <c r="A2" s="223">
        <v>45689</v>
      </c>
      <c r="B2" s="224" t="s">
        <v>601</v>
      </c>
      <c r="C2" s="224"/>
      <c r="D2" s="224"/>
      <c r="E2" s="354"/>
      <c r="F2" s="221"/>
      <c r="G2" s="221">
        <v>557825</v>
      </c>
      <c r="H2" s="224"/>
      <c r="I2" s="224"/>
    </row>
    <row r="3" spans="1:10">
      <c r="A3" s="347">
        <v>45691</v>
      </c>
      <c r="B3" s="351" t="s">
        <v>602</v>
      </c>
      <c r="C3" s="222" t="s">
        <v>122</v>
      </c>
      <c r="D3" s="222" t="s">
        <v>156</v>
      </c>
      <c r="E3" s="350">
        <v>42000</v>
      </c>
      <c r="F3" s="355"/>
      <c r="G3" s="356">
        <f>+G2+F3-E3</f>
        <v>515825</v>
      </c>
      <c r="H3" s="168" t="s">
        <v>162</v>
      </c>
      <c r="I3" s="224" t="s">
        <v>603</v>
      </c>
    </row>
    <row r="4" spans="1:10">
      <c r="A4" s="347">
        <v>45691</v>
      </c>
      <c r="B4" s="351" t="s">
        <v>604</v>
      </c>
      <c r="C4" s="222" t="s">
        <v>120</v>
      </c>
      <c r="D4" s="222" t="s">
        <v>156</v>
      </c>
      <c r="E4" s="350">
        <v>74000</v>
      </c>
      <c r="F4" s="355"/>
      <c r="G4" s="356">
        <f t="shared" ref="G4:G67" si="0">+G3+F4-E4</f>
        <v>441825</v>
      </c>
      <c r="H4" s="168" t="s">
        <v>162</v>
      </c>
      <c r="I4" s="224" t="s">
        <v>605</v>
      </c>
    </row>
    <row r="5" spans="1:10">
      <c r="A5" s="347">
        <v>45691</v>
      </c>
      <c r="B5" s="351" t="s">
        <v>606</v>
      </c>
      <c r="C5" s="222" t="s">
        <v>124</v>
      </c>
      <c r="D5" s="222" t="s">
        <v>156</v>
      </c>
      <c r="E5" s="350">
        <v>88000</v>
      </c>
      <c r="F5" s="355"/>
      <c r="G5" s="356">
        <f t="shared" si="0"/>
        <v>353825</v>
      </c>
      <c r="H5" s="168" t="s">
        <v>162</v>
      </c>
      <c r="I5" s="224" t="s">
        <v>607</v>
      </c>
    </row>
    <row r="6" spans="1:10">
      <c r="A6" s="347">
        <v>45691</v>
      </c>
      <c r="B6" s="351" t="s">
        <v>608</v>
      </c>
      <c r="C6" s="222" t="s">
        <v>123</v>
      </c>
      <c r="D6" s="222" t="s">
        <v>156</v>
      </c>
      <c r="E6" s="350">
        <v>10000</v>
      </c>
      <c r="F6" s="355"/>
      <c r="G6" s="356">
        <f t="shared" si="0"/>
        <v>343825</v>
      </c>
      <c r="H6" s="168" t="s">
        <v>162</v>
      </c>
      <c r="I6" s="224" t="s">
        <v>609</v>
      </c>
    </row>
    <row r="7" spans="1:10">
      <c r="A7" s="347">
        <v>45691</v>
      </c>
      <c r="B7" s="351" t="s">
        <v>610</v>
      </c>
      <c r="C7" s="222" t="s">
        <v>120</v>
      </c>
      <c r="D7" s="222" t="s">
        <v>156</v>
      </c>
      <c r="E7" s="350">
        <v>10000</v>
      </c>
      <c r="F7" s="355"/>
      <c r="G7" s="356">
        <f t="shared" si="0"/>
        <v>333825</v>
      </c>
      <c r="H7" s="168" t="s">
        <v>162</v>
      </c>
      <c r="I7" s="224" t="s">
        <v>611</v>
      </c>
    </row>
    <row r="8" spans="1:10">
      <c r="A8" s="347">
        <v>45691</v>
      </c>
      <c r="B8" s="351" t="s">
        <v>612</v>
      </c>
      <c r="C8" s="222" t="s">
        <v>124</v>
      </c>
      <c r="D8" s="222" t="s">
        <v>156</v>
      </c>
      <c r="E8" s="350">
        <v>16000</v>
      </c>
      <c r="F8" s="355"/>
      <c r="G8" s="356">
        <f t="shared" si="0"/>
        <v>317825</v>
      </c>
      <c r="H8" s="168" t="s">
        <v>162</v>
      </c>
      <c r="I8" s="224" t="s">
        <v>613</v>
      </c>
    </row>
    <row r="9" spans="1:10">
      <c r="A9" s="347">
        <v>45691</v>
      </c>
      <c r="B9" s="351" t="s">
        <v>614</v>
      </c>
      <c r="C9" s="222" t="s">
        <v>123</v>
      </c>
      <c r="D9" s="222" t="s">
        <v>156</v>
      </c>
      <c r="E9" s="350">
        <v>11000</v>
      </c>
      <c r="F9" s="355"/>
      <c r="G9" s="356">
        <f t="shared" si="0"/>
        <v>306825</v>
      </c>
      <c r="H9" s="168" t="s">
        <v>162</v>
      </c>
      <c r="I9" s="224" t="s">
        <v>615</v>
      </c>
    </row>
    <row r="10" spans="1:10">
      <c r="A10" s="347">
        <v>45692</v>
      </c>
      <c r="B10" s="357" t="s">
        <v>199</v>
      </c>
      <c r="C10" s="352"/>
      <c r="D10" s="351" t="s">
        <v>127</v>
      </c>
      <c r="E10" s="350">
        <v>84000</v>
      </c>
      <c r="F10" s="355"/>
      <c r="G10" s="356">
        <f t="shared" si="0"/>
        <v>222825</v>
      </c>
      <c r="H10" s="168" t="s">
        <v>199</v>
      </c>
      <c r="I10" s="224" t="s">
        <v>616</v>
      </c>
    </row>
    <row r="11" spans="1:10">
      <c r="A11" s="347">
        <v>45692</v>
      </c>
      <c r="B11" s="357" t="s">
        <v>193</v>
      </c>
      <c r="C11" s="352"/>
      <c r="D11" s="352" t="s">
        <v>127</v>
      </c>
      <c r="E11" s="350">
        <v>70000</v>
      </c>
      <c r="F11" s="355"/>
      <c r="G11" s="356">
        <f t="shared" si="0"/>
        <v>152825</v>
      </c>
      <c r="H11" s="352" t="s">
        <v>193</v>
      </c>
      <c r="I11" s="224" t="s">
        <v>617</v>
      </c>
    </row>
    <row r="12" spans="1:10">
      <c r="A12" s="347">
        <v>45692</v>
      </c>
      <c r="B12" s="357" t="s">
        <v>190</v>
      </c>
      <c r="C12" s="352"/>
      <c r="D12" s="352" t="s">
        <v>127</v>
      </c>
      <c r="E12" s="350">
        <v>40000</v>
      </c>
      <c r="F12" s="355"/>
      <c r="G12" s="356">
        <f t="shared" si="0"/>
        <v>112825</v>
      </c>
      <c r="H12" s="352" t="s">
        <v>190</v>
      </c>
      <c r="I12" s="224" t="s">
        <v>618</v>
      </c>
    </row>
    <row r="13" spans="1:10">
      <c r="A13" s="347">
        <v>45692</v>
      </c>
      <c r="B13" s="351" t="s">
        <v>327</v>
      </c>
      <c r="C13" s="352"/>
      <c r="D13" s="352" t="s">
        <v>127</v>
      </c>
      <c r="E13" s="350">
        <v>40000</v>
      </c>
      <c r="F13" s="355"/>
      <c r="G13" s="356">
        <f t="shared" si="0"/>
        <v>72825</v>
      </c>
      <c r="H13" s="352" t="s">
        <v>327</v>
      </c>
      <c r="I13" s="224" t="s">
        <v>619</v>
      </c>
    </row>
    <row r="14" spans="1:10">
      <c r="A14" s="347">
        <v>45692</v>
      </c>
      <c r="B14" s="351" t="s">
        <v>620</v>
      </c>
      <c r="C14" s="352" t="s">
        <v>120</v>
      </c>
      <c r="D14" s="352" t="s">
        <v>263</v>
      </c>
      <c r="E14" s="350">
        <v>70000</v>
      </c>
      <c r="F14" s="355"/>
      <c r="G14" s="356">
        <f t="shared" si="0"/>
        <v>2825</v>
      </c>
      <c r="H14" s="352" t="s">
        <v>193</v>
      </c>
      <c r="I14" s="224" t="s">
        <v>621</v>
      </c>
    </row>
    <row r="15" spans="1:10">
      <c r="A15" s="347">
        <v>45693</v>
      </c>
      <c r="B15" s="351" t="s">
        <v>622</v>
      </c>
      <c r="C15" s="352"/>
      <c r="D15" s="352" t="s">
        <v>127</v>
      </c>
      <c r="E15" s="350"/>
      <c r="F15" s="355">
        <v>2000000</v>
      </c>
      <c r="G15" s="356">
        <f t="shared" si="0"/>
        <v>2002825</v>
      </c>
      <c r="H15" s="352" t="s">
        <v>152</v>
      </c>
      <c r="I15" s="224" t="s">
        <v>623</v>
      </c>
    </row>
    <row r="16" spans="1:10">
      <c r="A16" s="347">
        <v>45693</v>
      </c>
      <c r="B16" s="351" t="s">
        <v>181</v>
      </c>
      <c r="C16" s="351"/>
      <c r="D16" s="351" t="s">
        <v>127</v>
      </c>
      <c r="E16" s="350">
        <v>100000</v>
      </c>
      <c r="F16" s="355"/>
      <c r="G16" s="356">
        <f t="shared" si="0"/>
        <v>1902825</v>
      </c>
      <c r="H16" s="352" t="s">
        <v>181</v>
      </c>
      <c r="I16" s="224" t="s">
        <v>624</v>
      </c>
    </row>
    <row r="17" spans="1:9">
      <c r="A17" s="347">
        <v>45693</v>
      </c>
      <c r="B17" s="348" t="s">
        <v>625</v>
      </c>
      <c r="C17" s="351" t="s">
        <v>121</v>
      </c>
      <c r="D17" s="351" t="s">
        <v>177</v>
      </c>
      <c r="E17" s="350">
        <v>25000</v>
      </c>
      <c r="F17" s="355"/>
      <c r="G17" s="356">
        <f t="shared" si="0"/>
        <v>1877825</v>
      </c>
      <c r="H17" s="348" t="s">
        <v>162</v>
      </c>
      <c r="I17" s="224" t="s">
        <v>626</v>
      </c>
    </row>
    <row r="18" spans="1:9">
      <c r="A18" s="347">
        <v>45693</v>
      </c>
      <c r="B18" s="348" t="s">
        <v>627</v>
      </c>
      <c r="C18" s="352" t="s">
        <v>121</v>
      </c>
      <c r="D18" s="351" t="s">
        <v>177</v>
      </c>
      <c r="E18" s="350">
        <v>63000</v>
      </c>
      <c r="F18" s="355"/>
      <c r="G18" s="356">
        <f t="shared" si="0"/>
        <v>1814825</v>
      </c>
      <c r="H18" s="348" t="s">
        <v>162</v>
      </c>
      <c r="I18" s="224" t="s">
        <v>628</v>
      </c>
    </row>
    <row r="19" spans="1:9">
      <c r="A19" s="347">
        <v>45695</v>
      </c>
      <c r="B19" s="348" t="s">
        <v>327</v>
      </c>
      <c r="C19" s="352"/>
      <c r="D19" s="351" t="s">
        <v>127</v>
      </c>
      <c r="E19" s="350">
        <v>198000</v>
      </c>
      <c r="F19" s="355"/>
      <c r="G19" s="356">
        <f t="shared" si="0"/>
        <v>1616825</v>
      </c>
      <c r="H19" s="348" t="s">
        <v>327</v>
      </c>
      <c r="I19" s="224" t="s">
        <v>629</v>
      </c>
    </row>
    <row r="20" spans="1:9">
      <c r="A20" s="347">
        <v>45695</v>
      </c>
      <c r="B20" s="348" t="s">
        <v>190</v>
      </c>
      <c r="C20" s="348"/>
      <c r="D20" s="348" t="s">
        <v>127</v>
      </c>
      <c r="E20" s="350">
        <v>191000</v>
      </c>
      <c r="F20" s="355"/>
      <c r="G20" s="356">
        <f t="shared" si="0"/>
        <v>1425825</v>
      </c>
      <c r="H20" s="348" t="s">
        <v>190</v>
      </c>
      <c r="I20" s="224" t="s">
        <v>630</v>
      </c>
    </row>
    <row r="21" spans="1:9">
      <c r="A21" s="347">
        <v>45695</v>
      </c>
      <c r="B21" s="348" t="s">
        <v>549</v>
      </c>
      <c r="C21" s="348" t="s">
        <v>123</v>
      </c>
      <c r="D21" s="349" t="s">
        <v>325</v>
      </c>
      <c r="E21" s="350">
        <v>148000</v>
      </c>
      <c r="F21" s="355"/>
      <c r="G21" s="356">
        <f t="shared" si="0"/>
        <v>1277825</v>
      </c>
      <c r="H21" s="348" t="s">
        <v>220</v>
      </c>
      <c r="I21" s="222" t="s">
        <v>550</v>
      </c>
    </row>
    <row r="22" spans="1:9">
      <c r="A22" s="347">
        <v>45695</v>
      </c>
      <c r="B22" s="348" t="s">
        <v>181</v>
      </c>
      <c r="C22" s="358"/>
      <c r="D22" s="358" t="s">
        <v>127</v>
      </c>
      <c r="E22" s="350">
        <v>138000</v>
      </c>
      <c r="F22" s="355"/>
      <c r="G22" s="356">
        <f t="shared" si="0"/>
        <v>1139825</v>
      </c>
      <c r="H22" s="352" t="s">
        <v>181</v>
      </c>
      <c r="I22" s="224" t="s">
        <v>631</v>
      </c>
    </row>
    <row r="23" spans="1:9">
      <c r="A23" s="347">
        <v>45696</v>
      </c>
      <c r="B23" s="348" t="s">
        <v>198</v>
      </c>
      <c r="C23" s="351" t="s">
        <v>121</v>
      </c>
      <c r="D23" s="351" t="s">
        <v>188</v>
      </c>
      <c r="E23" s="350">
        <f>+E22*3.5%</f>
        <v>4830.0000000000009</v>
      </c>
      <c r="F23" s="355"/>
      <c r="G23" s="356">
        <f t="shared" si="0"/>
        <v>1134995</v>
      </c>
      <c r="H23" s="352" t="s">
        <v>196</v>
      </c>
      <c r="I23" s="224" t="s">
        <v>555</v>
      </c>
    </row>
    <row r="24" spans="1:9">
      <c r="A24" s="347">
        <v>45696</v>
      </c>
      <c r="B24" s="222" t="s">
        <v>333</v>
      </c>
      <c r="C24" s="352"/>
      <c r="D24" s="352" t="s">
        <v>127</v>
      </c>
      <c r="E24" s="350">
        <v>100000</v>
      </c>
      <c r="F24" s="355"/>
      <c r="G24" s="356">
        <f t="shared" si="0"/>
        <v>1034995</v>
      </c>
      <c r="H24" s="352" t="s">
        <v>333</v>
      </c>
      <c r="I24" s="224" t="s">
        <v>632</v>
      </c>
    </row>
    <row r="25" spans="1:9">
      <c r="A25" s="347">
        <v>45698</v>
      </c>
      <c r="B25" s="222" t="s">
        <v>333</v>
      </c>
      <c r="C25" s="352"/>
      <c r="D25" s="352" t="s">
        <v>127</v>
      </c>
      <c r="E25" s="350">
        <v>137000</v>
      </c>
      <c r="F25" s="355"/>
      <c r="G25" s="356">
        <f t="shared" si="0"/>
        <v>897995</v>
      </c>
      <c r="H25" s="352" t="s">
        <v>333</v>
      </c>
      <c r="I25" s="224" t="s">
        <v>633</v>
      </c>
    </row>
    <row r="26" spans="1:9">
      <c r="A26" s="347">
        <v>45699</v>
      </c>
      <c r="B26" s="222" t="s">
        <v>634</v>
      </c>
      <c r="C26" s="352" t="s">
        <v>121</v>
      </c>
      <c r="D26" s="351" t="s">
        <v>188</v>
      </c>
      <c r="E26" s="350">
        <v>4110</v>
      </c>
      <c r="F26" s="355"/>
      <c r="G26" s="356">
        <f t="shared" si="0"/>
        <v>893885</v>
      </c>
      <c r="H26" s="352" t="s">
        <v>199</v>
      </c>
      <c r="I26" s="224" t="s">
        <v>635</v>
      </c>
    </row>
    <row r="27" spans="1:9">
      <c r="A27" s="347">
        <v>45699</v>
      </c>
      <c r="B27" s="351" t="s">
        <v>196</v>
      </c>
      <c r="C27" s="352"/>
      <c r="D27" s="352" t="s">
        <v>127</v>
      </c>
      <c r="E27" s="350">
        <v>84000</v>
      </c>
      <c r="F27" s="355"/>
      <c r="G27" s="356">
        <f t="shared" si="0"/>
        <v>809885</v>
      </c>
      <c r="H27" s="352" t="s">
        <v>196</v>
      </c>
      <c r="I27" s="224" t="s">
        <v>636</v>
      </c>
    </row>
    <row r="28" spans="1:9">
      <c r="A28" s="347">
        <v>45699</v>
      </c>
      <c r="B28" s="351" t="s">
        <v>559</v>
      </c>
      <c r="C28" s="351" t="s">
        <v>120</v>
      </c>
      <c r="D28" s="352" t="s">
        <v>263</v>
      </c>
      <c r="E28" s="350">
        <v>70000</v>
      </c>
      <c r="F28" s="355"/>
      <c r="G28" s="356">
        <f t="shared" si="0"/>
        <v>739885</v>
      </c>
      <c r="H28" s="352" t="s">
        <v>196</v>
      </c>
      <c r="I28" s="224" t="s">
        <v>560</v>
      </c>
    </row>
    <row r="29" spans="1:9">
      <c r="A29" s="347">
        <v>45699</v>
      </c>
      <c r="B29" s="222" t="s">
        <v>190</v>
      </c>
      <c r="C29" s="352"/>
      <c r="D29" s="351" t="s">
        <v>127</v>
      </c>
      <c r="E29" s="350">
        <v>224000</v>
      </c>
      <c r="F29" s="350"/>
      <c r="G29" s="356">
        <f t="shared" si="0"/>
        <v>515885</v>
      </c>
      <c r="H29" s="352" t="s">
        <v>190</v>
      </c>
      <c r="I29" s="224" t="s">
        <v>637</v>
      </c>
    </row>
    <row r="30" spans="1:9">
      <c r="A30" s="347">
        <v>45699</v>
      </c>
      <c r="B30" s="222" t="s">
        <v>638</v>
      </c>
      <c r="C30" s="351" t="s">
        <v>121</v>
      </c>
      <c r="D30" s="351" t="s">
        <v>188</v>
      </c>
      <c r="E30" s="350">
        <v>6720</v>
      </c>
      <c r="F30" s="355"/>
      <c r="G30" s="356">
        <f t="shared" si="0"/>
        <v>509165</v>
      </c>
      <c r="H30" s="352" t="s">
        <v>199</v>
      </c>
      <c r="I30" s="224" t="s">
        <v>639</v>
      </c>
    </row>
    <row r="31" spans="1:9">
      <c r="A31" s="347">
        <v>45699</v>
      </c>
      <c r="B31" s="222" t="s">
        <v>640</v>
      </c>
      <c r="C31" s="351" t="s">
        <v>120</v>
      </c>
      <c r="D31" s="351" t="s">
        <v>130</v>
      </c>
      <c r="E31" s="350">
        <v>94430</v>
      </c>
      <c r="F31" s="350"/>
      <c r="G31" s="356">
        <f t="shared" si="0"/>
        <v>414735</v>
      </c>
      <c r="H31" s="352" t="s">
        <v>162</v>
      </c>
      <c r="I31" s="222" t="s">
        <v>641</v>
      </c>
    </row>
    <row r="32" spans="1:9">
      <c r="A32" s="347">
        <v>45699</v>
      </c>
      <c r="B32" s="222" t="s">
        <v>642</v>
      </c>
      <c r="C32" s="351" t="s">
        <v>120</v>
      </c>
      <c r="D32" s="351" t="s">
        <v>130</v>
      </c>
      <c r="E32" s="350">
        <v>30000</v>
      </c>
      <c r="F32" s="350"/>
      <c r="G32" s="356">
        <f t="shared" si="0"/>
        <v>384735</v>
      </c>
      <c r="H32" s="352" t="s">
        <v>162</v>
      </c>
      <c r="I32" s="222" t="s">
        <v>643</v>
      </c>
    </row>
    <row r="33" spans="1:9">
      <c r="A33" s="347">
        <v>45699</v>
      </c>
      <c r="B33" s="222" t="s">
        <v>644</v>
      </c>
      <c r="C33" s="351" t="s">
        <v>120</v>
      </c>
      <c r="D33" s="351" t="s">
        <v>130</v>
      </c>
      <c r="E33" s="350">
        <v>30000</v>
      </c>
      <c r="F33" s="355"/>
      <c r="G33" s="356">
        <f t="shared" si="0"/>
        <v>354735</v>
      </c>
      <c r="H33" s="352" t="s">
        <v>162</v>
      </c>
      <c r="I33" s="222" t="s">
        <v>645</v>
      </c>
    </row>
    <row r="34" spans="1:9">
      <c r="A34" s="347">
        <v>45699</v>
      </c>
      <c r="B34" s="222" t="s">
        <v>646</v>
      </c>
      <c r="C34" s="351" t="s">
        <v>120</v>
      </c>
      <c r="D34" s="351" t="s">
        <v>130</v>
      </c>
      <c r="E34" s="350">
        <v>30000</v>
      </c>
      <c r="F34" s="355"/>
      <c r="G34" s="356">
        <f t="shared" si="0"/>
        <v>324735</v>
      </c>
      <c r="H34" s="352" t="s">
        <v>162</v>
      </c>
      <c r="I34" s="222" t="s">
        <v>647</v>
      </c>
    </row>
    <row r="35" spans="1:9">
      <c r="A35" s="347">
        <v>45699</v>
      </c>
      <c r="B35" s="222" t="s">
        <v>648</v>
      </c>
      <c r="C35" s="351" t="s">
        <v>120</v>
      </c>
      <c r="D35" s="351" t="s">
        <v>130</v>
      </c>
      <c r="E35" s="350">
        <v>30000</v>
      </c>
      <c r="F35" s="350"/>
      <c r="G35" s="356">
        <f t="shared" si="0"/>
        <v>294735</v>
      </c>
      <c r="H35" s="352" t="s">
        <v>162</v>
      </c>
      <c r="I35" s="222" t="s">
        <v>649</v>
      </c>
    </row>
    <row r="36" spans="1:9">
      <c r="A36" s="347">
        <v>45699</v>
      </c>
      <c r="B36" s="222" t="s">
        <v>650</v>
      </c>
      <c r="C36" s="351" t="s">
        <v>123</v>
      </c>
      <c r="D36" s="351" t="s">
        <v>130</v>
      </c>
      <c r="E36" s="350">
        <v>30000</v>
      </c>
      <c r="F36" s="350"/>
      <c r="G36" s="356">
        <f t="shared" si="0"/>
        <v>264735</v>
      </c>
      <c r="H36" s="352" t="s">
        <v>162</v>
      </c>
      <c r="I36" s="222" t="s">
        <v>651</v>
      </c>
    </row>
    <row r="37" spans="1:9">
      <c r="A37" s="347">
        <v>45699</v>
      </c>
      <c r="B37" s="222" t="s">
        <v>652</v>
      </c>
      <c r="C37" s="351" t="s">
        <v>206</v>
      </c>
      <c r="D37" s="351" t="s">
        <v>272</v>
      </c>
      <c r="E37" s="350">
        <v>35000</v>
      </c>
      <c r="F37" s="350"/>
      <c r="G37" s="356">
        <f t="shared" si="0"/>
        <v>229735</v>
      </c>
      <c r="H37" s="352" t="s">
        <v>162</v>
      </c>
      <c r="I37" s="222" t="s">
        <v>653</v>
      </c>
    </row>
    <row r="38" spans="1:9">
      <c r="A38" s="347">
        <v>45699</v>
      </c>
      <c r="B38" s="222" t="s">
        <v>654</v>
      </c>
      <c r="C38" s="351" t="s">
        <v>206</v>
      </c>
      <c r="D38" s="351" t="s">
        <v>272</v>
      </c>
      <c r="E38" s="350">
        <v>30000</v>
      </c>
      <c r="F38" s="350"/>
      <c r="G38" s="356">
        <f t="shared" si="0"/>
        <v>199735</v>
      </c>
      <c r="H38" s="352" t="s">
        <v>162</v>
      </c>
      <c r="I38" s="222" t="s">
        <v>655</v>
      </c>
    </row>
    <row r="39" spans="1:9">
      <c r="A39" s="347">
        <v>45699</v>
      </c>
      <c r="B39" s="222" t="s">
        <v>656</v>
      </c>
      <c r="C39" s="351" t="s">
        <v>206</v>
      </c>
      <c r="D39" s="351" t="s">
        <v>272</v>
      </c>
      <c r="E39" s="350">
        <v>30000</v>
      </c>
      <c r="F39" s="350"/>
      <c r="G39" s="356">
        <f t="shared" si="0"/>
        <v>169735</v>
      </c>
      <c r="H39" s="352" t="s">
        <v>162</v>
      </c>
      <c r="I39" s="222" t="s">
        <v>657</v>
      </c>
    </row>
    <row r="40" spans="1:9">
      <c r="A40" s="347">
        <v>45699</v>
      </c>
      <c r="B40" s="222" t="s">
        <v>658</v>
      </c>
      <c r="C40" s="351" t="s">
        <v>206</v>
      </c>
      <c r="D40" s="351" t="s">
        <v>272</v>
      </c>
      <c r="E40" s="350">
        <v>30000</v>
      </c>
      <c r="F40" s="350"/>
      <c r="G40" s="356">
        <f t="shared" si="0"/>
        <v>139735</v>
      </c>
      <c r="H40" s="352" t="s">
        <v>162</v>
      </c>
      <c r="I40" s="222" t="s">
        <v>659</v>
      </c>
    </row>
    <row r="41" spans="1:9">
      <c r="A41" s="347">
        <v>45699</v>
      </c>
      <c r="B41" s="222" t="s">
        <v>660</v>
      </c>
      <c r="C41" s="352"/>
      <c r="D41" s="351" t="s">
        <v>127</v>
      </c>
      <c r="E41" s="350"/>
      <c r="F41" s="350">
        <v>2000000</v>
      </c>
      <c r="G41" s="356">
        <f t="shared" si="0"/>
        <v>2139735</v>
      </c>
      <c r="H41" s="352" t="s">
        <v>152</v>
      </c>
      <c r="I41" s="224" t="s">
        <v>661</v>
      </c>
    </row>
    <row r="42" spans="1:9">
      <c r="A42" s="347">
        <v>45700</v>
      </c>
      <c r="B42" s="222" t="s">
        <v>181</v>
      </c>
      <c r="C42" s="351"/>
      <c r="D42" s="351" t="s">
        <v>127</v>
      </c>
      <c r="E42" s="350">
        <v>99000</v>
      </c>
      <c r="F42" s="350"/>
      <c r="G42" s="356">
        <f t="shared" si="0"/>
        <v>2040735</v>
      </c>
      <c r="H42" s="352" t="s">
        <v>181</v>
      </c>
      <c r="I42" s="224" t="s">
        <v>662</v>
      </c>
    </row>
    <row r="43" spans="1:9">
      <c r="A43" s="347">
        <v>45700</v>
      </c>
      <c r="B43" s="222" t="s">
        <v>198</v>
      </c>
      <c r="C43" s="351" t="s">
        <v>121</v>
      </c>
      <c r="D43" s="351" t="s">
        <v>188</v>
      </c>
      <c r="E43" s="350">
        <v>1980</v>
      </c>
      <c r="F43" s="355"/>
      <c r="G43" s="356">
        <f t="shared" si="0"/>
        <v>2038755</v>
      </c>
      <c r="H43" s="352" t="s">
        <v>199</v>
      </c>
      <c r="I43" s="224" t="s">
        <v>663</v>
      </c>
    </row>
    <row r="44" spans="1:9">
      <c r="A44" s="347">
        <v>45700</v>
      </c>
      <c r="B44" s="351" t="s">
        <v>199</v>
      </c>
      <c r="C44" s="352"/>
      <c r="D44" s="351" t="s">
        <v>127</v>
      </c>
      <c r="E44" s="350">
        <v>98000</v>
      </c>
      <c r="F44" s="355"/>
      <c r="G44" s="356">
        <f t="shared" si="0"/>
        <v>1940755</v>
      </c>
      <c r="H44" s="352" t="s">
        <v>199</v>
      </c>
      <c r="I44" s="224" t="s">
        <v>664</v>
      </c>
    </row>
    <row r="45" spans="1:9">
      <c r="A45" s="347">
        <v>45700</v>
      </c>
      <c r="B45" s="351" t="s">
        <v>665</v>
      </c>
      <c r="C45" s="352" t="s">
        <v>120</v>
      </c>
      <c r="D45" s="351" t="s">
        <v>263</v>
      </c>
      <c r="E45" s="350">
        <v>80000</v>
      </c>
      <c r="F45" s="350"/>
      <c r="G45" s="356">
        <f t="shared" si="0"/>
        <v>1860755</v>
      </c>
      <c r="H45" s="352" t="s">
        <v>199</v>
      </c>
      <c r="I45" s="224" t="s">
        <v>666</v>
      </c>
    </row>
    <row r="46" spans="1:9">
      <c r="A46" s="347">
        <v>45701</v>
      </c>
      <c r="B46" s="351" t="s">
        <v>551</v>
      </c>
      <c r="C46" s="352" t="s">
        <v>123</v>
      </c>
      <c r="D46" s="349" t="s">
        <v>325</v>
      </c>
      <c r="E46" s="350">
        <v>154000</v>
      </c>
      <c r="F46" s="355"/>
      <c r="G46" s="356">
        <f t="shared" si="0"/>
        <v>1706755</v>
      </c>
      <c r="H46" s="352" t="s">
        <v>220</v>
      </c>
      <c r="I46" s="222" t="s">
        <v>552</v>
      </c>
    </row>
    <row r="47" spans="1:9">
      <c r="A47" s="347">
        <v>45701</v>
      </c>
      <c r="B47" s="351" t="s">
        <v>667</v>
      </c>
      <c r="C47" s="352" t="s">
        <v>122</v>
      </c>
      <c r="D47" s="352" t="s">
        <v>130</v>
      </c>
      <c r="E47" s="350">
        <v>129464</v>
      </c>
      <c r="F47" s="350"/>
      <c r="G47" s="356">
        <f t="shared" si="0"/>
        <v>1577291</v>
      </c>
      <c r="H47" s="352" t="s">
        <v>162</v>
      </c>
      <c r="I47" s="224" t="s">
        <v>668</v>
      </c>
    </row>
    <row r="48" spans="1:9">
      <c r="A48" s="347">
        <v>45701</v>
      </c>
      <c r="B48" s="351" t="s">
        <v>667</v>
      </c>
      <c r="C48" s="352" t="s">
        <v>122</v>
      </c>
      <c r="D48" s="351" t="s">
        <v>130</v>
      </c>
      <c r="E48" s="350">
        <v>80500</v>
      </c>
      <c r="F48" s="355"/>
      <c r="G48" s="356">
        <f t="shared" si="0"/>
        <v>1496791</v>
      </c>
      <c r="H48" s="352" t="s">
        <v>162</v>
      </c>
      <c r="I48" s="224" t="s">
        <v>669</v>
      </c>
    </row>
    <row r="49" spans="1:9">
      <c r="A49" s="347">
        <v>45701</v>
      </c>
      <c r="B49" s="351" t="s">
        <v>220</v>
      </c>
      <c r="C49" s="351"/>
      <c r="D49" s="351" t="s">
        <v>127</v>
      </c>
      <c r="E49" s="350">
        <v>20000</v>
      </c>
      <c r="F49" s="355"/>
      <c r="G49" s="356">
        <f t="shared" si="0"/>
        <v>1476791</v>
      </c>
      <c r="H49" s="352" t="s">
        <v>220</v>
      </c>
      <c r="I49" s="224" t="s">
        <v>670</v>
      </c>
    </row>
    <row r="50" spans="1:9">
      <c r="A50" s="347">
        <v>45702</v>
      </c>
      <c r="B50" s="351" t="s">
        <v>671</v>
      </c>
      <c r="C50" s="352"/>
      <c r="D50" s="351" t="s">
        <v>127</v>
      </c>
      <c r="E50" s="350">
        <v>20000</v>
      </c>
      <c r="F50" s="355"/>
      <c r="G50" s="356">
        <f t="shared" si="0"/>
        <v>1456791</v>
      </c>
      <c r="H50" s="352" t="s">
        <v>671</v>
      </c>
      <c r="I50" s="224" t="s">
        <v>672</v>
      </c>
    </row>
    <row r="51" spans="1:9">
      <c r="A51" s="347">
        <v>45702</v>
      </c>
      <c r="B51" s="351" t="s">
        <v>162</v>
      </c>
      <c r="C51" s="351"/>
      <c r="D51" s="351" t="s">
        <v>127</v>
      </c>
      <c r="E51" s="350">
        <v>20000</v>
      </c>
      <c r="F51" s="350"/>
      <c r="G51" s="356">
        <f t="shared" si="0"/>
        <v>1436791</v>
      </c>
      <c r="H51" s="352" t="s">
        <v>162</v>
      </c>
      <c r="I51" s="224" t="s">
        <v>673</v>
      </c>
    </row>
    <row r="52" spans="1:9">
      <c r="A52" s="347">
        <v>45702</v>
      </c>
      <c r="B52" s="351" t="s">
        <v>674</v>
      </c>
      <c r="C52" s="351"/>
      <c r="D52" s="351" t="s">
        <v>127</v>
      </c>
      <c r="E52" s="350">
        <v>31952</v>
      </c>
      <c r="F52" s="350"/>
      <c r="G52" s="356">
        <f t="shared" si="0"/>
        <v>1404839</v>
      </c>
      <c r="H52" s="352" t="s">
        <v>157</v>
      </c>
      <c r="I52" s="224" t="s">
        <v>675</v>
      </c>
    </row>
    <row r="53" spans="1:9">
      <c r="A53" s="347">
        <v>45702</v>
      </c>
      <c r="B53" s="351" t="s">
        <v>157</v>
      </c>
      <c r="C53" s="351"/>
      <c r="D53" s="351" t="s">
        <v>127</v>
      </c>
      <c r="E53" s="350">
        <v>134000</v>
      </c>
      <c r="F53" s="350"/>
      <c r="G53" s="356">
        <f t="shared" si="0"/>
        <v>1270839</v>
      </c>
      <c r="H53" s="352" t="s">
        <v>157</v>
      </c>
      <c r="I53" s="224" t="s">
        <v>676</v>
      </c>
    </row>
    <row r="54" spans="1:9">
      <c r="A54" s="347">
        <v>45702</v>
      </c>
      <c r="B54" s="351" t="s">
        <v>220</v>
      </c>
      <c r="C54" s="351"/>
      <c r="D54" s="351" t="s">
        <v>127</v>
      </c>
      <c r="E54" s="350">
        <v>134000</v>
      </c>
      <c r="F54" s="350"/>
      <c r="G54" s="356">
        <f t="shared" si="0"/>
        <v>1136839</v>
      </c>
      <c r="H54" s="352" t="s">
        <v>220</v>
      </c>
      <c r="I54" s="224" t="s">
        <v>677</v>
      </c>
    </row>
    <row r="55" spans="1:9">
      <c r="A55" s="347">
        <v>45702</v>
      </c>
      <c r="B55" s="351" t="s">
        <v>196</v>
      </c>
      <c r="C55" s="351"/>
      <c r="D55" s="351" t="s">
        <v>127</v>
      </c>
      <c r="E55" s="350">
        <v>135000</v>
      </c>
      <c r="F55" s="350"/>
      <c r="G55" s="356">
        <f t="shared" si="0"/>
        <v>1001839</v>
      </c>
      <c r="H55" s="352" t="s">
        <v>196</v>
      </c>
      <c r="I55" s="224" t="s">
        <v>678</v>
      </c>
    </row>
    <row r="56" spans="1:9">
      <c r="A56" s="347">
        <v>45702</v>
      </c>
      <c r="B56" s="351" t="s">
        <v>181</v>
      </c>
      <c r="C56" s="351"/>
      <c r="D56" s="351" t="s">
        <v>127</v>
      </c>
      <c r="E56" s="350">
        <v>84000</v>
      </c>
      <c r="F56" s="350"/>
      <c r="G56" s="356">
        <f t="shared" si="0"/>
        <v>917839</v>
      </c>
      <c r="H56" s="352" t="s">
        <v>181</v>
      </c>
      <c r="I56" s="224" t="s">
        <v>679</v>
      </c>
    </row>
    <row r="57" spans="1:9">
      <c r="A57" s="347">
        <v>45702</v>
      </c>
      <c r="B57" s="351" t="s">
        <v>190</v>
      </c>
      <c r="C57" s="351"/>
      <c r="D57" s="351" t="s">
        <v>127</v>
      </c>
      <c r="E57" s="350">
        <v>158000</v>
      </c>
      <c r="F57" s="350"/>
      <c r="G57" s="356">
        <f t="shared" si="0"/>
        <v>759839</v>
      </c>
      <c r="H57" s="352" t="s">
        <v>190</v>
      </c>
      <c r="I57" s="224" t="s">
        <v>680</v>
      </c>
    </row>
    <row r="58" spans="1:9">
      <c r="A58" s="347">
        <v>45702</v>
      </c>
      <c r="B58" s="351" t="s">
        <v>681</v>
      </c>
      <c r="C58" s="352" t="s">
        <v>121</v>
      </c>
      <c r="D58" s="352" t="s">
        <v>188</v>
      </c>
      <c r="E58" s="350">
        <v>11310</v>
      </c>
      <c r="F58" s="350"/>
      <c r="G58" s="356">
        <f t="shared" si="0"/>
        <v>748529</v>
      </c>
      <c r="H58" s="352" t="s">
        <v>671</v>
      </c>
      <c r="I58" s="224" t="s">
        <v>682</v>
      </c>
    </row>
    <row r="59" spans="1:9">
      <c r="A59" s="347">
        <v>45702</v>
      </c>
      <c r="B59" s="351" t="s">
        <v>683</v>
      </c>
      <c r="C59" s="352" t="s">
        <v>122</v>
      </c>
      <c r="D59" s="352" t="s">
        <v>156</v>
      </c>
      <c r="E59" s="350">
        <v>30000</v>
      </c>
      <c r="F59" s="350"/>
      <c r="G59" s="356">
        <f t="shared" si="0"/>
        <v>718529</v>
      </c>
      <c r="H59" s="352" t="s">
        <v>162</v>
      </c>
      <c r="I59" s="224" t="s">
        <v>684</v>
      </c>
    </row>
    <row r="60" spans="1:9">
      <c r="A60" s="347">
        <v>45702</v>
      </c>
      <c r="B60" s="351" t="s">
        <v>685</v>
      </c>
      <c r="C60" s="352" t="s">
        <v>120</v>
      </c>
      <c r="D60" s="352" t="s">
        <v>156</v>
      </c>
      <c r="E60" s="350">
        <v>30000</v>
      </c>
      <c r="F60" s="350"/>
      <c r="G60" s="356">
        <f t="shared" si="0"/>
        <v>688529</v>
      </c>
      <c r="H60" s="352" t="s">
        <v>162</v>
      </c>
      <c r="I60" s="224" t="s">
        <v>686</v>
      </c>
    </row>
    <row r="61" spans="1:9">
      <c r="A61" s="347">
        <v>45702</v>
      </c>
      <c r="B61" s="351" t="s">
        <v>687</v>
      </c>
      <c r="C61" s="352" t="s">
        <v>124</v>
      </c>
      <c r="D61" s="352" t="s">
        <v>156</v>
      </c>
      <c r="E61" s="350">
        <v>55000</v>
      </c>
      <c r="F61" s="350"/>
      <c r="G61" s="356">
        <f t="shared" si="0"/>
        <v>633529</v>
      </c>
      <c r="H61" s="352" t="s">
        <v>162</v>
      </c>
      <c r="I61" s="224" t="s">
        <v>688</v>
      </c>
    </row>
    <row r="62" spans="1:9">
      <c r="A62" s="347">
        <v>45702</v>
      </c>
      <c r="B62" s="351" t="s">
        <v>689</v>
      </c>
      <c r="C62" s="352" t="s">
        <v>123</v>
      </c>
      <c r="D62" s="352" t="s">
        <v>156</v>
      </c>
      <c r="E62" s="350">
        <v>10000</v>
      </c>
      <c r="F62" s="350"/>
      <c r="G62" s="356">
        <f t="shared" si="0"/>
        <v>623529</v>
      </c>
      <c r="H62" s="352" t="s">
        <v>162</v>
      </c>
      <c r="I62" s="224" t="s">
        <v>690</v>
      </c>
    </row>
    <row r="63" spans="1:9">
      <c r="A63" s="347">
        <v>45702</v>
      </c>
      <c r="B63" s="351" t="s">
        <v>689</v>
      </c>
      <c r="C63" s="352" t="s">
        <v>120</v>
      </c>
      <c r="D63" s="352" t="s">
        <v>156</v>
      </c>
      <c r="E63" s="350">
        <v>10000</v>
      </c>
      <c r="F63" s="350"/>
      <c r="G63" s="356">
        <f t="shared" si="0"/>
        <v>613529</v>
      </c>
      <c r="H63" s="352" t="s">
        <v>162</v>
      </c>
      <c r="I63" s="224" t="s">
        <v>691</v>
      </c>
    </row>
    <row r="64" spans="1:9">
      <c r="A64" s="347">
        <v>45702</v>
      </c>
      <c r="B64" s="351" t="s">
        <v>692</v>
      </c>
      <c r="C64" s="352" t="s">
        <v>124</v>
      </c>
      <c r="D64" s="352" t="s">
        <v>156</v>
      </c>
      <c r="E64" s="350">
        <v>5000</v>
      </c>
      <c r="F64" s="350"/>
      <c r="G64" s="356">
        <f t="shared" si="0"/>
        <v>608529</v>
      </c>
      <c r="H64" s="352" t="s">
        <v>162</v>
      </c>
      <c r="I64" s="224" t="s">
        <v>693</v>
      </c>
    </row>
    <row r="65" spans="1:9">
      <c r="A65" s="347">
        <v>45702</v>
      </c>
      <c r="B65" s="351" t="s">
        <v>449</v>
      </c>
      <c r="C65" s="352"/>
      <c r="D65" s="352" t="s">
        <v>127</v>
      </c>
      <c r="E65" s="350">
        <v>134000</v>
      </c>
      <c r="F65" s="350"/>
      <c r="G65" s="356">
        <f t="shared" si="0"/>
        <v>474529</v>
      </c>
      <c r="H65" s="352" t="s">
        <v>449</v>
      </c>
      <c r="I65" s="224" t="s">
        <v>694</v>
      </c>
    </row>
    <row r="66" spans="1:9">
      <c r="A66" s="347">
        <v>45702</v>
      </c>
      <c r="B66" s="351" t="s">
        <v>193</v>
      </c>
      <c r="C66" s="352"/>
      <c r="D66" s="352" t="s">
        <v>127</v>
      </c>
      <c r="E66" s="350">
        <v>199000</v>
      </c>
      <c r="F66" s="350"/>
      <c r="G66" s="356">
        <f t="shared" si="0"/>
        <v>275529</v>
      </c>
      <c r="H66" s="352" t="s">
        <v>193</v>
      </c>
      <c r="I66" s="224" t="s">
        <v>695</v>
      </c>
    </row>
    <row r="67" spans="1:9">
      <c r="A67" s="347">
        <v>45702</v>
      </c>
      <c r="B67" s="351" t="s">
        <v>327</v>
      </c>
      <c r="C67" s="352"/>
      <c r="D67" s="352" t="s">
        <v>127</v>
      </c>
      <c r="E67" s="350">
        <v>230000</v>
      </c>
      <c r="F67" s="350"/>
      <c r="G67" s="356">
        <f t="shared" si="0"/>
        <v>45529</v>
      </c>
      <c r="H67" s="352" t="s">
        <v>327</v>
      </c>
      <c r="I67" s="224" t="s">
        <v>696</v>
      </c>
    </row>
    <row r="68" spans="1:9">
      <c r="A68" s="347">
        <v>45705</v>
      </c>
      <c r="B68" s="351" t="s">
        <v>697</v>
      </c>
      <c r="C68" s="352"/>
      <c r="D68" s="352" t="s">
        <v>127</v>
      </c>
      <c r="E68" s="350"/>
      <c r="F68" s="350">
        <v>2000000</v>
      </c>
      <c r="G68" s="356">
        <f t="shared" ref="G68:G123" si="1">+G67+F68-E68</f>
        <v>2045529</v>
      </c>
      <c r="H68" s="352" t="s">
        <v>152</v>
      </c>
      <c r="I68" s="224" t="s">
        <v>698</v>
      </c>
    </row>
    <row r="69" spans="1:9">
      <c r="A69" s="347">
        <v>45705</v>
      </c>
      <c r="B69" s="351" t="s">
        <v>699</v>
      </c>
      <c r="C69" s="352" t="s">
        <v>124</v>
      </c>
      <c r="D69" s="352" t="s">
        <v>156</v>
      </c>
      <c r="E69" s="350">
        <v>15000</v>
      </c>
      <c r="F69" s="350"/>
      <c r="G69" s="356">
        <f t="shared" si="1"/>
        <v>2030529</v>
      </c>
      <c r="H69" s="352" t="s">
        <v>162</v>
      </c>
      <c r="I69" s="224" t="s">
        <v>700</v>
      </c>
    </row>
    <row r="70" spans="1:9">
      <c r="A70" s="223">
        <v>45706</v>
      </c>
      <c r="B70" s="222" t="s">
        <v>449</v>
      </c>
      <c r="C70" s="352"/>
      <c r="D70" s="222" t="s">
        <v>127</v>
      </c>
      <c r="E70" s="350">
        <v>300000</v>
      </c>
      <c r="F70" s="350"/>
      <c r="G70" s="356">
        <f t="shared" si="1"/>
        <v>1730529</v>
      </c>
      <c r="H70" s="352" t="s">
        <v>449</v>
      </c>
      <c r="I70" s="224" t="s">
        <v>701</v>
      </c>
    </row>
    <row r="71" spans="1:9">
      <c r="A71" s="223">
        <v>45706</v>
      </c>
      <c r="B71" s="222" t="s">
        <v>702</v>
      </c>
      <c r="C71" s="352" t="s">
        <v>121</v>
      </c>
      <c r="D71" s="222" t="s">
        <v>188</v>
      </c>
      <c r="E71" s="350">
        <v>9000</v>
      </c>
      <c r="F71" s="350"/>
      <c r="G71" s="356">
        <f t="shared" si="1"/>
        <v>1721529</v>
      </c>
      <c r="H71" s="352" t="s">
        <v>671</v>
      </c>
      <c r="I71" s="224" t="s">
        <v>703</v>
      </c>
    </row>
    <row r="72" spans="1:9">
      <c r="A72" s="223">
        <v>45706</v>
      </c>
      <c r="B72" s="222" t="s">
        <v>704</v>
      </c>
      <c r="C72" s="352" t="s">
        <v>120</v>
      </c>
      <c r="D72" s="222" t="s">
        <v>263</v>
      </c>
      <c r="E72" s="350">
        <v>70000</v>
      </c>
      <c r="F72" s="350"/>
      <c r="G72" s="356">
        <f t="shared" si="1"/>
        <v>1651529</v>
      </c>
      <c r="H72" s="352" t="s">
        <v>199</v>
      </c>
      <c r="I72" s="224" t="s">
        <v>705</v>
      </c>
    </row>
    <row r="73" spans="1:9">
      <c r="A73" s="223">
        <v>45707</v>
      </c>
      <c r="B73" s="222" t="s">
        <v>196</v>
      </c>
      <c r="C73" s="352"/>
      <c r="D73" s="222" t="s">
        <v>127</v>
      </c>
      <c r="E73" s="350">
        <v>75000</v>
      </c>
      <c r="F73" s="355"/>
      <c r="G73" s="356">
        <f t="shared" si="1"/>
        <v>1576529</v>
      </c>
      <c r="H73" s="352" t="s">
        <v>196</v>
      </c>
      <c r="I73" s="224" t="s">
        <v>706</v>
      </c>
    </row>
    <row r="74" spans="1:9">
      <c r="A74" s="223">
        <v>45707</v>
      </c>
      <c r="B74" s="222" t="s">
        <v>449</v>
      </c>
      <c r="C74" s="352"/>
      <c r="D74" s="222" t="s">
        <v>127</v>
      </c>
      <c r="E74" s="350">
        <v>75000</v>
      </c>
      <c r="F74" s="355"/>
      <c r="G74" s="356">
        <f t="shared" si="1"/>
        <v>1501529</v>
      </c>
      <c r="H74" s="352" t="s">
        <v>449</v>
      </c>
      <c r="I74" s="224" t="s">
        <v>707</v>
      </c>
    </row>
    <row r="75" spans="1:9">
      <c r="A75" s="223">
        <v>45707</v>
      </c>
      <c r="B75" s="222" t="s">
        <v>193</v>
      </c>
      <c r="C75" s="352"/>
      <c r="D75" s="222" t="s">
        <v>127</v>
      </c>
      <c r="E75" s="350">
        <v>75000</v>
      </c>
      <c r="F75" s="355"/>
      <c r="G75" s="356">
        <f t="shared" si="1"/>
        <v>1426529</v>
      </c>
      <c r="H75" s="352" t="s">
        <v>193</v>
      </c>
      <c r="I75" s="224" t="s">
        <v>708</v>
      </c>
    </row>
    <row r="76" spans="1:9">
      <c r="A76" s="223">
        <v>45707</v>
      </c>
      <c r="B76" s="222" t="s">
        <v>220</v>
      </c>
      <c r="C76" s="352"/>
      <c r="D76" s="222" t="s">
        <v>127</v>
      </c>
      <c r="E76" s="350">
        <v>75000</v>
      </c>
      <c r="F76" s="355"/>
      <c r="G76" s="356">
        <f t="shared" si="1"/>
        <v>1351529</v>
      </c>
      <c r="H76" s="352" t="s">
        <v>220</v>
      </c>
      <c r="I76" s="224" t="s">
        <v>709</v>
      </c>
    </row>
    <row r="77" spans="1:9">
      <c r="A77" s="223">
        <v>45707</v>
      </c>
      <c r="B77" s="222" t="s">
        <v>157</v>
      </c>
      <c r="C77" s="352"/>
      <c r="D77" s="222" t="s">
        <v>127</v>
      </c>
      <c r="E77" s="350">
        <v>75000</v>
      </c>
      <c r="F77" s="355"/>
      <c r="G77" s="356">
        <f t="shared" si="1"/>
        <v>1276529</v>
      </c>
      <c r="H77" s="352" t="s">
        <v>157</v>
      </c>
      <c r="I77" s="224" t="s">
        <v>710</v>
      </c>
    </row>
    <row r="78" spans="1:9">
      <c r="A78" s="223">
        <v>45707</v>
      </c>
      <c r="B78" s="222" t="s">
        <v>190</v>
      </c>
      <c r="C78" s="352"/>
      <c r="D78" s="222" t="s">
        <v>127</v>
      </c>
      <c r="E78" s="350">
        <v>75000</v>
      </c>
      <c r="F78" s="355"/>
      <c r="G78" s="356">
        <f t="shared" si="1"/>
        <v>1201529</v>
      </c>
      <c r="H78" s="352" t="s">
        <v>190</v>
      </c>
      <c r="I78" s="224" t="s">
        <v>711</v>
      </c>
    </row>
    <row r="79" spans="1:9">
      <c r="A79" s="223">
        <v>45707</v>
      </c>
      <c r="B79" s="222" t="s">
        <v>181</v>
      </c>
      <c r="C79" s="352"/>
      <c r="D79" s="222" t="s">
        <v>127</v>
      </c>
      <c r="E79" s="350">
        <v>75000</v>
      </c>
      <c r="F79" s="355"/>
      <c r="G79" s="356">
        <f t="shared" si="1"/>
        <v>1126529</v>
      </c>
      <c r="H79" s="352" t="s">
        <v>181</v>
      </c>
      <c r="I79" s="224" t="s">
        <v>712</v>
      </c>
    </row>
    <row r="80" spans="1:9">
      <c r="A80" s="223">
        <v>45707</v>
      </c>
      <c r="B80" s="222" t="s">
        <v>674</v>
      </c>
      <c r="C80" s="352" t="s">
        <v>124</v>
      </c>
      <c r="D80" s="222" t="s">
        <v>379</v>
      </c>
      <c r="E80" s="350">
        <v>30000</v>
      </c>
      <c r="F80" s="355"/>
      <c r="G80" s="356">
        <f t="shared" si="1"/>
        <v>1096529</v>
      </c>
      <c r="H80" s="352" t="s">
        <v>162</v>
      </c>
      <c r="I80" s="224" t="s">
        <v>713</v>
      </c>
    </row>
    <row r="81" spans="1:9">
      <c r="A81" s="223">
        <v>45707</v>
      </c>
      <c r="B81" s="222" t="s">
        <v>714</v>
      </c>
      <c r="C81" s="352" t="s">
        <v>121</v>
      </c>
      <c r="D81" s="222" t="s">
        <v>188</v>
      </c>
      <c r="E81" s="350">
        <v>1952</v>
      </c>
      <c r="F81" s="355"/>
      <c r="G81" s="356">
        <f t="shared" si="1"/>
        <v>1094577</v>
      </c>
      <c r="H81" s="352" t="s">
        <v>162</v>
      </c>
      <c r="I81" s="224" t="s">
        <v>715</v>
      </c>
    </row>
    <row r="82" spans="1:9">
      <c r="A82" s="223">
        <v>45707</v>
      </c>
      <c r="B82" s="222" t="s">
        <v>716</v>
      </c>
      <c r="C82" s="352" t="s">
        <v>121</v>
      </c>
      <c r="D82" s="222" t="s">
        <v>188</v>
      </c>
      <c r="E82" s="350">
        <v>14250</v>
      </c>
      <c r="F82" s="355"/>
      <c r="G82" s="356">
        <f t="shared" si="1"/>
        <v>1080327</v>
      </c>
      <c r="H82" s="352" t="s">
        <v>671</v>
      </c>
      <c r="I82" s="224" t="s">
        <v>717</v>
      </c>
    </row>
    <row r="83" spans="1:9">
      <c r="A83" s="347">
        <v>45709</v>
      </c>
      <c r="B83" s="348" t="s">
        <v>718</v>
      </c>
      <c r="C83" s="348" t="s">
        <v>121</v>
      </c>
      <c r="D83" s="348" t="s">
        <v>188</v>
      </c>
      <c r="E83" s="350">
        <v>13615</v>
      </c>
      <c r="F83" s="355"/>
      <c r="G83" s="356">
        <f t="shared" si="1"/>
        <v>1066712</v>
      </c>
      <c r="H83" s="352" t="s">
        <v>199</v>
      </c>
      <c r="I83" s="224" t="s">
        <v>719</v>
      </c>
    </row>
    <row r="84" spans="1:9">
      <c r="A84" s="223">
        <v>45709</v>
      </c>
      <c r="B84" s="222" t="s">
        <v>190</v>
      </c>
      <c r="C84" s="352"/>
      <c r="D84" s="222" t="s">
        <v>127</v>
      </c>
      <c r="E84" s="350">
        <v>75000</v>
      </c>
      <c r="F84" s="355"/>
      <c r="G84" s="356">
        <f t="shared" si="1"/>
        <v>991712</v>
      </c>
      <c r="H84" s="352" t="s">
        <v>190</v>
      </c>
      <c r="I84" s="224" t="s">
        <v>720</v>
      </c>
    </row>
    <row r="85" spans="1:9">
      <c r="A85" s="223">
        <v>45709</v>
      </c>
      <c r="B85" s="222" t="s">
        <v>181</v>
      </c>
      <c r="C85" s="352"/>
      <c r="D85" s="222" t="s">
        <v>127</v>
      </c>
      <c r="E85" s="350">
        <v>99000</v>
      </c>
      <c r="F85" s="355"/>
      <c r="G85" s="356">
        <f t="shared" si="1"/>
        <v>892712</v>
      </c>
      <c r="H85" s="352" t="s">
        <v>181</v>
      </c>
      <c r="I85" s="224" t="s">
        <v>721</v>
      </c>
    </row>
    <row r="86" spans="1:9">
      <c r="A86" s="223">
        <v>45709</v>
      </c>
      <c r="B86" s="222" t="s">
        <v>220</v>
      </c>
      <c r="C86" s="352"/>
      <c r="D86" s="222" t="s">
        <v>127</v>
      </c>
      <c r="E86" s="350">
        <v>75000</v>
      </c>
      <c r="F86" s="355"/>
      <c r="G86" s="356">
        <f t="shared" si="1"/>
        <v>817712</v>
      </c>
      <c r="H86" s="352" t="s">
        <v>220</v>
      </c>
      <c r="I86" s="224" t="s">
        <v>722</v>
      </c>
    </row>
    <row r="87" spans="1:9">
      <c r="A87" s="223">
        <v>45709</v>
      </c>
      <c r="B87" s="222" t="s">
        <v>449</v>
      </c>
      <c r="C87" s="352"/>
      <c r="D87" s="222" t="s">
        <v>127</v>
      </c>
      <c r="E87" s="350">
        <v>75000</v>
      </c>
      <c r="F87" s="355"/>
      <c r="G87" s="356">
        <f t="shared" si="1"/>
        <v>742712</v>
      </c>
      <c r="H87" s="352" t="s">
        <v>449</v>
      </c>
      <c r="I87" s="224" t="s">
        <v>723</v>
      </c>
    </row>
    <row r="88" spans="1:9">
      <c r="A88" s="223">
        <v>45709</v>
      </c>
      <c r="B88" s="222" t="s">
        <v>157</v>
      </c>
      <c r="C88" s="352"/>
      <c r="D88" s="222" t="s">
        <v>127</v>
      </c>
      <c r="E88" s="350">
        <v>75000</v>
      </c>
      <c r="F88" s="355"/>
      <c r="G88" s="356">
        <f t="shared" si="1"/>
        <v>667712</v>
      </c>
      <c r="H88" s="222" t="s">
        <v>157</v>
      </c>
      <c r="I88" s="224" t="s">
        <v>724</v>
      </c>
    </row>
    <row r="89" spans="1:9">
      <c r="A89" s="223">
        <v>45709</v>
      </c>
      <c r="B89" s="222" t="s">
        <v>196</v>
      </c>
      <c r="C89" s="352"/>
      <c r="D89" s="222" t="s">
        <v>127</v>
      </c>
      <c r="E89" s="350">
        <v>75000</v>
      </c>
      <c r="F89" s="355"/>
      <c r="G89" s="356">
        <f t="shared" si="1"/>
        <v>592712</v>
      </c>
      <c r="H89" s="222" t="s">
        <v>196</v>
      </c>
      <c r="I89" s="224" t="s">
        <v>725</v>
      </c>
    </row>
    <row r="90" spans="1:9">
      <c r="A90" s="223">
        <v>45709</v>
      </c>
      <c r="B90" s="222" t="s">
        <v>193</v>
      </c>
      <c r="C90" s="352"/>
      <c r="D90" s="222" t="s">
        <v>127</v>
      </c>
      <c r="E90" s="350">
        <v>75000</v>
      </c>
      <c r="F90" s="350"/>
      <c r="G90" s="356">
        <f t="shared" si="1"/>
        <v>517712</v>
      </c>
      <c r="H90" s="222" t="s">
        <v>193</v>
      </c>
      <c r="I90" s="224" t="s">
        <v>726</v>
      </c>
    </row>
    <row r="91" spans="1:9">
      <c r="A91" s="223">
        <v>45709</v>
      </c>
      <c r="B91" s="222" t="s">
        <v>681</v>
      </c>
      <c r="C91" s="352" t="s">
        <v>121</v>
      </c>
      <c r="D91" s="222" t="s">
        <v>188</v>
      </c>
      <c r="E91" s="350">
        <v>14700</v>
      </c>
      <c r="F91" s="355"/>
      <c r="G91" s="356">
        <f t="shared" si="1"/>
        <v>503012</v>
      </c>
      <c r="H91" s="222" t="s">
        <v>199</v>
      </c>
      <c r="I91" s="224" t="s">
        <v>727</v>
      </c>
    </row>
    <row r="92" spans="1:9">
      <c r="A92" s="257">
        <v>45711</v>
      </c>
      <c r="B92" s="77" t="s">
        <v>728</v>
      </c>
      <c r="C92" s="77"/>
      <c r="D92" s="77" t="s">
        <v>127</v>
      </c>
      <c r="E92" s="356"/>
      <c r="F92" s="359">
        <v>70000</v>
      </c>
      <c r="G92" s="356">
        <f t="shared" si="1"/>
        <v>573012</v>
      </c>
      <c r="H92" s="77" t="s">
        <v>157</v>
      </c>
      <c r="I92" s="224" t="s">
        <v>729</v>
      </c>
    </row>
    <row r="93" spans="1:9">
      <c r="A93" s="257">
        <v>45711</v>
      </c>
      <c r="B93" s="77" t="s">
        <v>190</v>
      </c>
      <c r="C93" s="77"/>
      <c r="D93" s="77" t="s">
        <v>127</v>
      </c>
      <c r="E93" s="356">
        <v>70000</v>
      </c>
      <c r="F93" s="359"/>
      <c r="G93" s="356">
        <f t="shared" si="1"/>
        <v>503012</v>
      </c>
      <c r="H93" s="77" t="s">
        <v>190</v>
      </c>
      <c r="I93" s="224" t="s">
        <v>730</v>
      </c>
    </row>
    <row r="94" spans="1:9">
      <c r="A94" s="223">
        <v>45711</v>
      </c>
      <c r="B94" s="222" t="s">
        <v>731</v>
      </c>
      <c r="C94" s="352"/>
      <c r="D94" s="222" t="s">
        <v>127</v>
      </c>
      <c r="E94" s="350"/>
      <c r="F94" s="350">
        <v>300000</v>
      </c>
      <c r="G94" s="356">
        <f t="shared" si="1"/>
        <v>803012</v>
      </c>
      <c r="H94" s="222" t="s">
        <v>449</v>
      </c>
      <c r="I94" s="224" t="s">
        <v>732</v>
      </c>
    </row>
    <row r="95" spans="1:9">
      <c r="A95" s="223">
        <v>45711</v>
      </c>
      <c r="B95" s="222" t="s">
        <v>181</v>
      </c>
      <c r="C95" s="352"/>
      <c r="D95" s="222" t="s">
        <v>127</v>
      </c>
      <c r="E95" s="350">
        <v>300000</v>
      </c>
      <c r="F95" s="355"/>
      <c r="G95" s="356">
        <f t="shared" si="1"/>
        <v>503012</v>
      </c>
      <c r="H95" s="222" t="s">
        <v>181</v>
      </c>
      <c r="I95" s="224" t="s">
        <v>733</v>
      </c>
    </row>
    <row r="96" spans="1:9">
      <c r="A96" s="223">
        <v>45712</v>
      </c>
      <c r="B96" s="222" t="s">
        <v>157</v>
      </c>
      <c r="C96" s="352"/>
      <c r="D96" s="222" t="s">
        <v>127</v>
      </c>
      <c r="E96" s="350">
        <v>70000</v>
      </c>
      <c r="F96" s="350"/>
      <c r="G96" s="356">
        <f t="shared" si="1"/>
        <v>433012</v>
      </c>
      <c r="H96" s="222" t="s">
        <v>157</v>
      </c>
      <c r="I96" s="224" t="s">
        <v>734</v>
      </c>
    </row>
    <row r="97" spans="1:9">
      <c r="A97" s="223">
        <v>45712</v>
      </c>
      <c r="B97" s="222" t="s">
        <v>449</v>
      </c>
      <c r="C97" s="352"/>
      <c r="D97" s="222" t="s">
        <v>127</v>
      </c>
      <c r="E97" s="350">
        <v>200000</v>
      </c>
      <c r="F97" s="350"/>
      <c r="G97" s="356">
        <f t="shared" si="1"/>
        <v>233012</v>
      </c>
      <c r="H97" s="222" t="s">
        <v>449</v>
      </c>
      <c r="I97" s="224" t="s">
        <v>735</v>
      </c>
    </row>
    <row r="98" spans="1:9">
      <c r="A98" s="223">
        <v>45712</v>
      </c>
      <c r="B98" s="222" t="s">
        <v>736</v>
      </c>
      <c r="C98" s="352" t="s">
        <v>121</v>
      </c>
      <c r="D98" s="222" t="s">
        <v>188</v>
      </c>
      <c r="E98" s="350">
        <v>8100</v>
      </c>
      <c r="F98" s="350"/>
      <c r="G98" s="356">
        <f t="shared" si="1"/>
        <v>224912</v>
      </c>
      <c r="H98" s="222" t="s">
        <v>199</v>
      </c>
      <c r="I98" s="224" t="s">
        <v>737</v>
      </c>
    </row>
    <row r="99" spans="1:9">
      <c r="A99" s="223">
        <v>45712</v>
      </c>
      <c r="B99" s="222" t="s">
        <v>738</v>
      </c>
      <c r="C99" s="352" t="s">
        <v>122</v>
      </c>
      <c r="D99" s="222" t="s">
        <v>156</v>
      </c>
      <c r="E99" s="350">
        <v>5000</v>
      </c>
      <c r="F99" s="350"/>
      <c r="G99" s="356">
        <f t="shared" si="1"/>
        <v>219912</v>
      </c>
      <c r="H99" s="222" t="s">
        <v>162</v>
      </c>
      <c r="I99" s="224" t="s">
        <v>739</v>
      </c>
    </row>
    <row r="100" spans="1:9">
      <c r="A100" s="223">
        <v>45712</v>
      </c>
      <c r="B100" s="225" t="s">
        <v>740</v>
      </c>
      <c r="C100" s="352"/>
      <c r="D100" s="225" t="s">
        <v>127</v>
      </c>
      <c r="E100" s="350"/>
      <c r="F100" s="350">
        <v>150000</v>
      </c>
      <c r="G100" s="356">
        <f t="shared" si="1"/>
        <v>369912</v>
      </c>
      <c r="H100" s="222" t="s">
        <v>181</v>
      </c>
      <c r="I100" s="224" t="s">
        <v>741</v>
      </c>
    </row>
    <row r="101" spans="1:9">
      <c r="A101" s="223">
        <v>45712</v>
      </c>
      <c r="B101" s="222" t="s">
        <v>190</v>
      </c>
      <c r="C101" s="352"/>
      <c r="D101" s="222" t="s">
        <v>127</v>
      </c>
      <c r="E101" s="350">
        <v>150000</v>
      </c>
      <c r="F101" s="350"/>
      <c r="G101" s="356">
        <f t="shared" si="1"/>
        <v>219912</v>
      </c>
      <c r="H101" s="222" t="s">
        <v>190</v>
      </c>
      <c r="I101" s="224" t="s">
        <v>742</v>
      </c>
    </row>
    <row r="102" spans="1:9">
      <c r="A102" s="223">
        <v>45713</v>
      </c>
      <c r="B102" s="222" t="s">
        <v>327</v>
      </c>
      <c r="C102" s="352"/>
      <c r="D102" s="222" t="s">
        <v>127</v>
      </c>
      <c r="E102" s="350">
        <v>20000</v>
      </c>
      <c r="F102" s="350"/>
      <c r="G102" s="356">
        <f t="shared" si="1"/>
        <v>199912</v>
      </c>
      <c r="H102" s="222" t="s">
        <v>327</v>
      </c>
      <c r="I102" s="224" t="s">
        <v>743</v>
      </c>
    </row>
    <row r="103" spans="1:9">
      <c r="A103" s="223">
        <v>45713</v>
      </c>
      <c r="B103" s="222" t="s">
        <v>327</v>
      </c>
      <c r="C103" s="352"/>
      <c r="D103" s="222" t="s">
        <v>127</v>
      </c>
      <c r="E103" s="350">
        <v>52000</v>
      </c>
      <c r="F103" s="350"/>
      <c r="G103" s="356">
        <f t="shared" si="1"/>
        <v>147912</v>
      </c>
      <c r="H103" s="222" t="s">
        <v>327</v>
      </c>
      <c r="I103" s="224" t="s">
        <v>744</v>
      </c>
    </row>
    <row r="104" spans="1:9">
      <c r="A104" s="223">
        <v>45714</v>
      </c>
      <c r="B104" s="222" t="s">
        <v>745</v>
      </c>
      <c r="C104" s="352"/>
      <c r="D104" s="222" t="s">
        <v>127</v>
      </c>
      <c r="E104" s="350"/>
      <c r="F104" s="350">
        <v>2000000</v>
      </c>
      <c r="G104" s="356">
        <f t="shared" si="1"/>
        <v>2147912</v>
      </c>
      <c r="H104" s="222" t="s">
        <v>152</v>
      </c>
      <c r="I104" s="224" t="s">
        <v>746</v>
      </c>
    </row>
    <row r="105" spans="1:9">
      <c r="A105" s="223">
        <v>45714</v>
      </c>
      <c r="B105" s="222" t="s">
        <v>449</v>
      </c>
      <c r="C105" s="352"/>
      <c r="D105" s="222" t="s">
        <v>127</v>
      </c>
      <c r="E105" s="350">
        <v>70000</v>
      </c>
      <c r="F105" s="350"/>
      <c r="G105" s="356">
        <f t="shared" si="1"/>
        <v>2077912</v>
      </c>
      <c r="H105" s="222" t="s">
        <v>449</v>
      </c>
      <c r="I105" s="224" t="s">
        <v>747</v>
      </c>
    </row>
    <row r="106" spans="1:9">
      <c r="A106" s="223">
        <v>45714</v>
      </c>
      <c r="B106" s="222" t="s">
        <v>220</v>
      </c>
      <c r="C106" s="352"/>
      <c r="D106" s="222" t="s">
        <v>127</v>
      </c>
      <c r="E106" s="350">
        <v>75000</v>
      </c>
      <c r="F106" s="350"/>
      <c r="G106" s="356">
        <f t="shared" si="1"/>
        <v>2002912</v>
      </c>
      <c r="H106" s="222" t="s">
        <v>220</v>
      </c>
      <c r="I106" s="224" t="s">
        <v>748</v>
      </c>
    </row>
    <row r="107" spans="1:9">
      <c r="A107" s="223">
        <v>45714</v>
      </c>
      <c r="B107" s="222" t="s">
        <v>196</v>
      </c>
      <c r="C107" s="352"/>
      <c r="D107" s="222" t="s">
        <v>127</v>
      </c>
      <c r="E107" s="350">
        <v>121000</v>
      </c>
      <c r="F107" s="350"/>
      <c r="G107" s="356">
        <f t="shared" si="1"/>
        <v>1881912</v>
      </c>
      <c r="H107" s="222" t="s">
        <v>196</v>
      </c>
      <c r="I107" s="224" t="s">
        <v>749</v>
      </c>
    </row>
    <row r="108" spans="1:9">
      <c r="A108" s="223">
        <v>45714</v>
      </c>
      <c r="B108" s="222" t="s">
        <v>193</v>
      </c>
      <c r="C108" s="352"/>
      <c r="D108" s="222" t="s">
        <v>127</v>
      </c>
      <c r="E108" s="350">
        <v>100000</v>
      </c>
      <c r="F108" s="350"/>
      <c r="G108" s="356">
        <f t="shared" si="1"/>
        <v>1781912</v>
      </c>
      <c r="H108" s="222" t="s">
        <v>193</v>
      </c>
      <c r="I108" s="224" t="s">
        <v>750</v>
      </c>
    </row>
    <row r="109" spans="1:9">
      <c r="A109" s="223">
        <v>45714</v>
      </c>
      <c r="B109" s="222" t="s">
        <v>716</v>
      </c>
      <c r="C109" s="352" t="s">
        <v>121</v>
      </c>
      <c r="D109" s="222" t="s">
        <v>188</v>
      </c>
      <c r="E109" s="350">
        <v>10980</v>
      </c>
      <c r="F109" s="350"/>
      <c r="G109" s="356">
        <f t="shared" si="1"/>
        <v>1770932</v>
      </c>
      <c r="H109" s="222" t="s">
        <v>671</v>
      </c>
      <c r="I109" s="224" t="s">
        <v>751</v>
      </c>
    </row>
    <row r="110" spans="1:9">
      <c r="A110" s="223">
        <v>45714</v>
      </c>
      <c r="B110" s="222" t="s">
        <v>752</v>
      </c>
      <c r="C110" s="352" t="s">
        <v>120</v>
      </c>
      <c r="D110" s="222" t="s">
        <v>263</v>
      </c>
      <c r="E110" s="350">
        <f>78000+70000</f>
        <v>148000</v>
      </c>
      <c r="F110" s="350"/>
      <c r="G110" s="356">
        <f t="shared" si="1"/>
        <v>1622932</v>
      </c>
      <c r="H110" s="222" t="s">
        <v>162</v>
      </c>
      <c r="I110" s="224" t="s">
        <v>753</v>
      </c>
    </row>
    <row r="111" spans="1:9">
      <c r="A111" s="257">
        <v>45715</v>
      </c>
      <c r="B111" s="77" t="s">
        <v>754</v>
      </c>
      <c r="C111" s="77"/>
      <c r="D111" s="77" t="s">
        <v>127</v>
      </c>
      <c r="E111" s="360">
        <v>30000</v>
      </c>
      <c r="F111" s="360"/>
      <c r="G111" s="356">
        <f t="shared" si="1"/>
        <v>1592932</v>
      </c>
      <c r="H111" s="77" t="s">
        <v>157</v>
      </c>
      <c r="I111" s="224" t="s">
        <v>755</v>
      </c>
    </row>
    <row r="112" spans="1:9">
      <c r="A112" s="257">
        <v>45715</v>
      </c>
      <c r="B112" s="77" t="s">
        <v>327</v>
      </c>
      <c r="C112" s="77"/>
      <c r="D112" s="77" t="s">
        <v>127</v>
      </c>
      <c r="E112" s="360">
        <v>28000</v>
      </c>
      <c r="F112" s="360"/>
      <c r="G112" s="356">
        <f t="shared" si="1"/>
        <v>1564932</v>
      </c>
      <c r="H112" s="77" t="s">
        <v>327</v>
      </c>
      <c r="I112" s="224" t="s">
        <v>756</v>
      </c>
    </row>
    <row r="113" spans="1:9">
      <c r="A113" s="257">
        <v>45715</v>
      </c>
      <c r="B113" s="77" t="s">
        <v>757</v>
      </c>
      <c r="C113" s="77" t="s">
        <v>121</v>
      </c>
      <c r="D113" s="77" t="s">
        <v>312</v>
      </c>
      <c r="E113" s="360">
        <v>20000</v>
      </c>
      <c r="F113" s="360"/>
      <c r="G113" s="356">
        <f t="shared" si="1"/>
        <v>1544932</v>
      </c>
      <c r="H113" s="77" t="s">
        <v>162</v>
      </c>
      <c r="I113" s="224" t="s">
        <v>758</v>
      </c>
    </row>
    <row r="114" spans="1:9">
      <c r="A114" s="257">
        <v>45715</v>
      </c>
      <c r="B114" s="77" t="s">
        <v>759</v>
      </c>
      <c r="C114" s="77" t="s">
        <v>121</v>
      </c>
      <c r="D114" s="222" t="s">
        <v>188</v>
      </c>
      <c r="E114" s="360">
        <v>560</v>
      </c>
      <c r="F114" s="360"/>
      <c r="G114" s="356">
        <f t="shared" si="1"/>
        <v>1544372</v>
      </c>
      <c r="H114" s="77" t="s">
        <v>199</v>
      </c>
      <c r="I114" s="224" t="s">
        <v>760</v>
      </c>
    </row>
    <row r="115" spans="1:9">
      <c r="A115" s="347">
        <v>45716</v>
      </c>
      <c r="B115" s="348" t="s">
        <v>761</v>
      </c>
      <c r="C115" s="348" t="s">
        <v>121</v>
      </c>
      <c r="D115" s="348" t="s">
        <v>312</v>
      </c>
      <c r="E115" s="350">
        <v>6000</v>
      </c>
      <c r="F115" s="350"/>
      <c r="G115" s="356">
        <f t="shared" si="1"/>
        <v>1538372</v>
      </c>
      <c r="H115" s="352" t="s">
        <v>162</v>
      </c>
      <c r="I115" s="224" t="s">
        <v>762</v>
      </c>
    </row>
    <row r="116" spans="1:9">
      <c r="A116" s="257">
        <v>45716</v>
      </c>
      <c r="B116" s="222" t="s">
        <v>449</v>
      </c>
      <c r="C116" s="352"/>
      <c r="D116" s="222" t="s">
        <v>127</v>
      </c>
      <c r="E116" s="350">
        <v>75000</v>
      </c>
      <c r="F116" s="350"/>
      <c r="G116" s="356">
        <f t="shared" si="1"/>
        <v>1463372</v>
      </c>
      <c r="H116" s="222" t="s">
        <v>449</v>
      </c>
      <c r="I116" s="224" t="s">
        <v>763</v>
      </c>
    </row>
    <row r="117" spans="1:9">
      <c r="A117" s="257">
        <v>45716</v>
      </c>
      <c r="B117" s="222" t="s">
        <v>193</v>
      </c>
      <c r="C117" s="352"/>
      <c r="D117" s="222" t="s">
        <v>127</v>
      </c>
      <c r="E117" s="350">
        <v>81000</v>
      </c>
      <c r="F117" s="355"/>
      <c r="G117" s="356">
        <f t="shared" si="1"/>
        <v>1382372</v>
      </c>
      <c r="H117" s="222" t="s">
        <v>193</v>
      </c>
      <c r="I117" s="224" t="s">
        <v>764</v>
      </c>
    </row>
    <row r="118" spans="1:9">
      <c r="A118" s="257">
        <v>45716</v>
      </c>
      <c r="B118" s="222" t="s">
        <v>765</v>
      </c>
      <c r="C118" s="352" t="s">
        <v>121</v>
      </c>
      <c r="D118" s="222" t="s">
        <v>188</v>
      </c>
      <c r="E118" s="350">
        <v>7020</v>
      </c>
      <c r="F118" s="350"/>
      <c r="G118" s="356">
        <f t="shared" si="1"/>
        <v>1375352</v>
      </c>
      <c r="H118" s="222" t="s">
        <v>671</v>
      </c>
      <c r="I118" s="224" t="s">
        <v>766</v>
      </c>
    </row>
    <row r="119" spans="1:9">
      <c r="A119" s="257">
        <v>45716</v>
      </c>
      <c r="B119" s="222" t="s">
        <v>767</v>
      </c>
      <c r="C119" s="222" t="s">
        <v>121</v>
      </c>
      <c r="D119" s="222" t="s">
        <v>768</v>
      </c>
      <c r="E119" s="350">
        <v>45050</v>
      </c>
      <c r="F119" s="350"/>
      <c r="G119" s="356">
        <f t="shared" si="1"/>
        <v>1330302</v>
      </c>
      <c r="H119" s="222" t="s">
        <v>162</v>
      </c>
      <c r="I119" s="224" t="s">
        <v>769</v>
      </c>
    </row>
    <row r="120" spans="1:9">
      <c r="A120" s="257">
        <v>45716</v>
      </c>
      <c r="B120" s="222" t="s">
        <v>770</v>
      </c>
      <c r="C120" s="222" t="s">
        <v>121</v>
      </c>
      <c r="D120" s="222" t="s">
        <v>312</v>
      </c>
      <c r="E120" s="350">
        <v>75625</v>
      </c>
      <c r="F120" s="350"/>
      <c r="G120" s="356">
        <f t="shared" si="1"/>
        <v>1254677</v>
      </c>
      <c r="H120" s="222" t="s">
        <v>671</v>
      </c>
      <c r="I120" s="224" t="s">
        <v>771</v>
      </c>
    </row>
    <row r="121" spans="1:9">
      <c r="A121" s="257">
        <v>45716</v>
      </c>
      <c r="B121" s="222" t="s">
        <v>772</v>
      </c>
      <c r="C121" s="352" t="s">
        <v>121</v>
      </c>
      <c r="D121" s="222" t="s">
        <v>177</v>
      </c>
      <c r="E121" s="350">
        <v>182000</v>
      </c>
      <c r="F121" s="350"/>
      <c r="G121" s="356">
        <f t="shared" si="1"/>
        <v>1072677</v>
      </c>
      <c r="H121" s="222" t="s">
        <v>162</v>
      </c>
      <c r="I121" s="224" t="s">
        <v>773</v>
      </c>
    </row>
    <row r="122" spans="1:9">
      <c r="A122" s="257">
        <v>45716</v>
      </c>
      <c r="B122" s="222" t="s">
        <v>774</v>
      </c>
      <c r="C122" s="352" t="s">
        <v>121</v>
      </c>
      <c r="D122" s="349" t="s">
        <v>130</v>
      </c>
      <c r="E122" s="350">
        <v>10500</v>
      </c>
      <c r="F122" s="355"/>
      <c r="G122" s="356">
        <f t="shared" si="1"/>
        <v>1062177</v>
      </c>
      <c r="H122" s="222" t="s">
        <v>162</v>
      </c>
      <c r="I122" s="224" t="s">
        <v>775</v>
      </c>
    </row>
    <row r="123" spans="1:9">
      <c r="A123" s="257">
        <v>45716</v>
      </c>
      <c r="B123" s="222" t="s">
        <v>553</v>
      </c>
      <c r="C123" s="352" t="s">
        <v>123</v>
      </c>
      <c r="D123" s="349" t="s">
        <v>325</v>
      </c>
      <c r="E123" s="350">
        <v>200000</v>
      </c>
      <c r="F123" s="355"/>
      <c r="G123" s="356">
        <f t="shared" si="1"/>
        <v>862177</v>
      </c>
      <c r="H123" s="222" t="s">
        <v>220</v>
      </c>
      <c r="I123" s="222" t="s">
        <v>554</v>
      </c>
    </row>
    <row r="124" spans="1:9">
      <c r="A124" s="394"/>
      <c r="B124" s="394"/>
      <c r="C124" s="394"/>
      <c r="D124" s="394"/>
      <c r="E124" s="394"/>
      <c r="F124" s="394"/>
    </row>
  </sheetData>
  <autoFilter ref="A1:J123"/>
  <mergeCells count="1">
    <mergeCell ref="A124:F124"/>
  </mergeCells>
  <dataValidations count="1">
    <dataValidation type="list" allowBlank="1" showInputMessage="1" showErrorMessage="1" sqref="C115:C116 D119"/>
  </dataValidations>
  <pageMargins left="0.7" right="0.7" top="0.78740157499999996" bottom="0.78740157499999996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2"/>
  <sheetViews>
    <sheetView topLeftCell="B247" zoomScale="70" zoomScaleNormal="70" workbookViewId="0">
      <selection activeCell="C237" sqref="C237"/>
    </sheetView>
  </sheetViews>
  <sheetFormatPr baseColWidth="10" defaultColWidth="8.75" defaultRowHeight="14"/>
  <cols>
    <col min="1" max="1" width="16.25" customWidth="1"/>
    <col min="2" max="2" width="78.83203125" customWidth="1"/>
    <col min="3" max="3" width="23.4140625" customWidth="1"/>
    <col min="4" max="6" width="17.1640625" style="72" customWidth="1"/>
    <col min="7" max="8" width="17.1640625" customWidth="1"/>
    <col min="9" max="9" width="13.75" customWidth="1"/>
  </cols>
  <sheetData>
    <row r="1" spans="1:10" ht="15.5">
      <c r="A1" s="231"/>
      <c r="B1" s="232"/>
      <c r="C1" s="233" t="s">
        <v>457</v>
      </c>
      <c r="D1" s="232"/>
      <c r="E1" s="234"/>
      <c r="F1" s="234"/>
      <c r="G1" s="235"/>
      <c r="H1" s="232"/>
      <c r="I1" s="232"/>
      <c r="J1" s="232"/>
    </row>
    <row r="2" spans="1:10" ht="15.5">
      <c r="A2" s="231"/>
      <c r="B2" s="232"/>
      <c r="C2" s="232"/>
      <c r="D2" s="232"/>
      <c r="E2" s="234"/>
      <c r="F2" s="234"/>
      <c r="G2" s="235"/>
      <c r="H2" s="232"/>
      <c r="I2" s="232"/>
      <c r="J2" s="232"/>
    </row>
    <row r="3" spans="1:10" ht="15.5">
      <c r="A3" s="236" t="s">
        <v>0</v>
      </c>
      <c r="B3" s="237" t="s">
        <v>458</v>
      </c>
      <c r="C3" s="237" t="s">
        <v>459</v>
      </c>
      <c r="D3" s="237" t="s">
        <v>460</v>
      </c>
      <c r="E3" s="238" t="s">
        <v>461</v>
      </c>
      <c r="F3" s="238" t="s">
        <v>462</v>
      </c>
      <c r="G3" s="239" t="s">
        <v>30</v>
      </c>
      <c r="H3" s="237" t="s">
        <v>463</v>
      </c>
      <c r="I3" s="237" t="s">
        <v>464</v>
      </c>
      <c r="J3" s="240"/>
    </row>
    <row r="4" spans="1:10" ht="15.5">
      <c r="A4" s="241">
        <v>45689</v>
      </c>
      <c r="B4" s="242" t="s">
        <v>600</v>
      </c>
      <c r="C4" s="242"/>
      <c r="D4" s="242"/>
      <c r="E4" s="243"/>
      <c r="F4" s="243"/>
      <c r="G4" s="244">
        <v>1663</v>
      </c>
      <c r="H4" s="245" t="s">
        <v>157</v>
      </c>
      <c r="I4" s="242"/>
      <c r="J4" s="232"/>
    </row>
    <row r="5" spans="1:10" ht="15.5">
      <c r="A5" s="361">
        <v>45702</v>
      </c>
      <c r="B5" s="362" t="s">
        <v>777</v>
      </c>
      <c r="C5" s="363" t="s">
        <v>127</v>
      </c>
      <c r="D5" s="364"/>
      <c r="E5" s="365">
        <v>31952</v>
      </c>
      <c r="F5" s="366"/>
      <c r="G5" s="367">
        <f t="shared" ref="G5:G18" si="0">G4+E5-F5</f>
        <v>33615</v>
      </c>
      <c r="H5" s="368" t="s">
        <v>157</v>
      </c>
      <c r="I5" s="369" t="s">
        <v>778</v>
      </c>
      <c r="J5" s="232"/>
    </row>
    <row r="6" spans="1:10" ht="15.5">
      <c r="A6" s="361">
        <v>45702</v>
      </c>
      <c r="B6" s="362" t="s">
        <v>674</v>
      </c>
      <c r="C6" s="362" t="s">
        <v>379</v>
      </c>
      <c r="D6" s="362" t="s">
        <v>122</v>
      </c>
      <c r="E6" s="365"/>
      <c r="F6" s="366">
        <v>30000</v>
      </c>
      <c r="G6" s="367">
        <f t="shared" si="0"/>
        <v>3615</v>
      </c>
      <c r="H6" s="368" t="s">
        <v>157</v>
      </c>
      <c r="I6" s="369" t="s">
        <v>779</v>
      </c>
      <c r="J6" s="232"/>
    </row>
    <row r="7" spans="1:10" ht="15.5">
      <c r="A7" s="361">
        <v>45702</v>
      </c>
      <c r="B7" s="362" t="s">
        <v>780</v>
      </c>
      <c r="C7" s="362" t="s">
        <v>188</v>
      </c>
      <c r="D7" s="362" t="s">
        <v>121</v>
      </c>
      <c r="E7" s="365"/>
      <c r="F7" s="366">
        <v>1952</v>
      </c>
      <c r="G7" s="367">
        <f t="shared" si="0"/>
        <v>1663</v>
      </c>
      <c r="H7" s="368" t="s">
        <v>157</v>
      </c>
      <c r="I7" s="369" t="s">
        <v>781</v>
      </c>
      <c r="J7" s="242"/>
    </row>
    <row r="8" spans="1:10" ht="15.5">
      <c r="A8" s="361">
        <v>45702</v>
      </c>
      <c r="B8" s="362" t="s">
        <v>782</v>
      </c>
      <c r="C8" s="363" t="s">
        <v>127</v>
      </c>
      <c r="D8" s="364"/>
      <c r="E8" s="365">
        <v>134000</v>
      </c>
      <c r="F8" s="366"/>
      <c r="G8" s="367">
        <f t="shared" si="0"/>
        <v>135663</v>
      </c>
      <c r="H8" s="368" t="s">
        <v>157</v>
      </c>
      <c r="I8" s="369" t="s">
        <v>783</v>
      </c>
      <c r="J8" s="232"/>
    </row>
    <row r="9" spans="1:10" ht="15.5">
      <c r="A9" s="361">
        <v>45702</v>
      </c>
      <c r="B9" s="362" t="s">
        <v>784</v>
      </c>
      <c r="C9" s="363" t="s">
        <v>179</v>
      </c>
      <c r="D9" s="364" t="s">
        <v>122</v>
      </c>
      <c r="E9" s="365"/>
      <c r="F9" s="366">
        <v>7000</v>
      </c>
      <c r="G9" s="367">
        <f t="shared" si="0"/>
        <v>128663</v>
      </c>
      <c r="H9" s="368" t="s">
        <v>157</v>
      </c>
      <c r="I9" s="369" t="s">
        <v>785</v>
      </c>
      <c r="J9" s="242"/>
    </row>
    <row r="10" spans="1:10" ht="15.5">
      <c r="A10" s="361">
        <v>45703</v>
      </c>
      <c r="B10" s="362" t="s">
        <v>786</v>
      </c>
      <c r="C10" s="363" t="s">
        <v>469</v>
      </c>
      <c r="D10" s="364" t="s">
        <v>122</v>
      </c>
      <c r="E10" s="365"/>
      <c r="F10" s="366">
        <v>100000</v>
      </c>
      <c r="G10" s="367">
        <f t="shared" si="0"/>
        <v>28663</v>
      </c>
      <c r="H10" s="368" t="s">
        <v>157</v>
      </c>
      <c r="I10" s="369" t="s">
        <v>787</v>
      </c>
      <c r="J10" s="232"/>
    </row>
    <row r="11" spans="1:10" ht="15.5">
      <c r="A11" s="361">
        <v>45707</v>
      </c>
      <c r="B11" s="362" t="s">
        <v>788</v>
      </c>
      <c r="C11" s="363" t="s">
        <v>127</v>
      </c>
      <c r="D11" s="364"/>
      <c r="E11" s="365">
        <v>75000</v>
      </c>
      <c r="F11" s="366"/>
      <c r="G11" s="367">
        <f t="shared" si="0"/>
        <v>103663</v>
      </c>
      <c r="H11" s="368" t="s">
        <v>157</v>
      </c>
      <c r="I11" s="369" t="s">
        <v>789</v>
      </c>
      <c r="J11" s="232"/>
    </row>
    <row r="12" spans="1:10" ht="15.5">
      <c r="A12" s="361">
        <v>45709</v>
      </c>
      <c r="B12" s="362" t="s">
        <v>788</v>
      </c>
      <c r="C12" s="363" t="s">
        <v>127</v>
      </c>
      <c r="D12" s="364"/>
      <c r="E12" s="365">
        <v>75000</v>
      </c>
      <c r="F12" s="366"/>
      <c r="G12" s="367">
        <f t="shared" si="0"/>
        <v>178663</v>
      </c>
      <c r="H12" s="368" t="s">
        <v>157</v>
      </c>
      <c r="I12" s="369" t="s">
        <v>790</v>
      </c>
      <c r="J12" s="232"/>
    </row>
    <row r="13" spans="1:10" ht="15.5">
      <c r="A13" s="361">
        <v>45711</v>
      </c>
      <c r="B13" s="362" t="s">
        <v>791</v>
      </c>
      <c r="C13" s="363" t="s">
        <v>127</v>
      </c>
      <c r="D13" s="364"/>
      <c r="E13" s="365"/>
      <c r="F13" s="366">
        <v>70000</v>
      </c>
      <c r="G13" s="367">
        <f t="shared" si="0"/>
        <v>108663</v>
      </c>
      <c r="H13" s="368" t="s">
        <v>157</v>
      </c>
      <c r="I13" s="369" t="s">
        <v>792</v>
      </c>
      <c r="J13" s="232"/>
    </row>
    <row r="14" spans="1:10" ht="15.5">
      <c r="A14" s="361">
        <v>45712</v>
      </c>
      <c r="B14" s="362" t="s">
        <v>788</v>
      </c>
      <c r="C14" s="363" t="s">
        <v>127</v>
      </c>
      <c r="D14" s="364"/>
      <c r="E14" s="365">
        <v>70000</v>
      </c>
      <c r="F14" s="366"/>
      <c r="G14" s="367">
        <f t="shared" si="0"/>
        <v>178663</v>
      </c>
      <c r="H14" s="368" t="s">
        <v>157</v>
      </c>
      <c r="I14" s="369" t="s">
        <v>793</v>
      </c>
      <c r="J14" s="232"/>
    </row>
    <row r="15" spans="1:10" ht="15.5">
      <c r="A15" s="361">
        <v>45713</v>
      </c>
      <c r="B15" s="362" t="s">
        <v>794</v>
      </c>
      <c r="C15" s="363" t="s">
        <v>179</v>
      </c>
      <c r="D15" s="364" t="s">
        <v>122</v>
      </c>
      <c r="E15" s="365"/>
      <c r="F15" s="366">
        <v>7000</v>
      </c>
      <c r="G15" s="367">
        <f t="shared" si="0"/>
        <v>171663</v>
      </c>
      <c r="H15" s="368" t="s">
        <v>157</v>
      </c>
      <c r="I15" s="369" t="s">
        <v>795</v>
      </c>
      <c r="J15" s="232"/>
    </row>
    <row r="16" spans="1:10" ht="15.5">
      <c r="A16" s="361">
        <v>45713</v>
      </c>
      <c r="B16" s="362" t="s">
        <v>796</v>
      </c>
      <c r="C16" s="363" t="s">
        <v>469</v>
      </c>
      <c r="D16" s="364" t="s">
        <v>122</v>
      </c>
      <c r="E16" s="365"/>
      <c r="F16" s="366">
        <v>150000</v>
      </c>
      <c r="G16" s="367">
        <f t="shared" si="0"/>
        <v>21663</v>
      </c>
      <c r="H16" s="368" t="s">
        <v>157</v>
      </c>
      <c r="I16" s="369" t="s">
        <v>797</v>
      </c>
      <c r="J16" s="232"/>
    </row>
    <row r="17" spans="1:10" ht="15.5">
      <c r="A17" s="361">
        <v>45715</v>
      </c>
      <c r="B17" s="362" t="s">
        <v>777</v>
      </c>
      <c r="C17" s="363" t="s">
        <v>127</v>
      </c>
      <c r="D17" s="364"/>
      <c r="E17" s="365">
        <v>30000</v>
      </c>
      <c r="F17" s="366"/>
      <c r="G17" s="367">
        <f t="shared" si="0"/>
        <v>51663</v>
      </c>
      <c r="H17" s="368" t="s">
        <v>157</v>
      </c>
      <c r="I17" s="369" t="s">
        <v>798</v>
      </c>
      <c r="J17" s="232"/>
    </row>
    <row r="18" spans="1:10" ht="15.5">
      <c r="A18" s="361">
        <v>45716</v>
      </c>
      <c r="B18" s="362" t="s">
        <v>799</v>
      </c>
      <c r="C18" s="363" t="s">
        <v>179</v>
      </c>
      <c r="D18" s="370" t="s">
        <v>122</v>
      </c>
      <c r="E18" s="365"/>
      <c r="F18" s="366">
        <v>39500</v>
      </c>
      <c r="G18" s="367">
        <f t="shared" si="0"/>
        <v>12163</v>
      </c>
      <c r="H18" s="368" t="s">
        <v>157</v>
      </c>
      <c r="I18" s="369" t="s">
        <v>800</v>
      </c>
      <c r="J18" s="232"/>
    </row>
    <row r="19" spans="1:10" ht="15.5">
      <c r="A19" s="246"/>
      <c r="B19" s="242"/>
      <c r="C19" s="242"/>
      <c r="D19" s="242"/>
      <c r="E19" s="243">
        <f>SUM(E4:E18)</f>
        <v>415952</v>
      </c>
      <c r="F19" s="243">
        <f>SUM(F4:F18)</f>
        <v>405452</v>
      </c>
      <c r="G19" s="247">
        <f>+G4+E19-F19</f>
        <v>12163</v>
      </c>
      <c r="H19" s="242"/>
      <c r="I19" s="242"/>
      <c r="J19" s="232"/>
    </row>
    <row r="20" spans="1:10" ht="15.5">
      <c r="A20" s="231"/>
      <c r="B20" s="232"/>
      <c r="C20" s="233" t="s">
        <v>465</v>
      </c>
      <c r="D20" s="232"/>
      <c r="E20" s="234"/>
      <c r="F20" s="234"/>
      <c r="G20" s="235"/>
      <c r="H20" s="232"/>
      <c r="I20" s="232"/>
      <c r="J20" s="232"/>
    </row>
    <row r="21" spans="1:10" ht="15.5">
      <c r="A21" s="231"/>
      <c r="B21" s="232"/>
      <c r="C21" s="232"/>
      <c r="D21" s="232"/>
      <c r="E21" s="234"/>
      <c r="F21" s="234"/>
      <c r="G21" s="235"/>
      <c r="H21" s="232"/>
      <c r="I21" s="232"/>
      <c r="J21" s="232"/>
    </row>
    <row r="22" spans="1:10" ht="15.5">
      <c r="A22" s="236" t="s">
        <v>0</v>
      </c>
      <c r="B22" s="237" t="s">
        <v>458</v>
      </c>
      <c r="C22" s="237" t="s">
        <v>459</v>
      </c>
      <c r="D22" s="237" t="s">
        <v>460</v>
      </c>
      <c r="E22" s="238" t="s">
        <v>461</v>
      </c>
      <c r="F22" s="238" t="s">
        <v>462</v>
      </c>
      <c r="G22" s="248" t="s">
        <v>30</v>
      </c>
      <c r="H22" s="237" t="s">
        <v>463</v>
      </c>
      <c r="I22" s="237" t="s">
        <v>464</v>
      </c>
      <c r="J22" s="240"/>
    </row>
    <row r="23" spans="1:10" ht="15.5">
      <c r="A23" s="249">
        <v>45689</v>
      </c>
      <c r="B23" s="242" t="s">
        <v>600</v>
      </c>
      <c r="C23" s="242"/>
      <c r="D23" s="242"/>
      <c r="E23" s="243"/>
      <c r="F23" s="243"/>
      <c r="G23" s="244">
        <v>39370</v>
      </c>
      <c r="H23" s="250" t="s">
        <v>207</v>
      </c>
      <c r="I23" s="242"/>
      <c r="J23" s="232"/>
    </row>
    <row r="24" spans="1:10" ht="15.5">
      <c r="A24" s="371">
        <v>45702</v>
      </c>
      <c r="B24" s="372" t="s">
        <v>466</v>
      </c>
      <c r="C24" s="372" t="s">
        <v>127</v>
      </c>
      <c r="D24" s="251" t="s">
        <v>468</v>
      </c>
      <c r="E24" s="373">
        <v>134000</v>
      </c>
      <c r="F24" s="373"/>
      <c r="G24" s="374">
        <f>+G23+E24-F24</f>
        <v>173370</v>
      </c>
      <c r="H24" s="251" t="s">
        <v>207</v>
      </c>
      <c r="I24" s="251" t="s">
        <v>598</v>
      </c>
      <c r="J24" s="232"/>
    </row>
    <row r="25" spans="1:10" ht="15.5">
      <c r="A25" s="371">
        <v>45702</v>
      </c>
      <c r="B25" s="372" t="s">
        <v>205</v>
      </c>
      <c r="C25" s="372" t="s">
        <v>179</v>
      </c>
      <c r="D25" s="251" t="s">
        <v>468</v>
      </c>
      <c r="E25" s="373"/>
      <c r="F25" s="373">
        <v>7000</v>
      </c>
      <c r="G25" s="374">
        <f t="shared" ref="G25:G39" si="1">+G24+E25-F25</f>
        <v>166370</v>
      </c>
      <c r="H25" s="251" t="s">
        <v>207</v>
      </c>
      <c r="I25" s="251" t="s">
        <v>599</v>
      </c>
      <c r="J25" s="232"/>
    </row>
    <row r="26" spans="1:10" ht="15.5">
      <c r="A26" s="371">
        <v>45703</v>
      </c>
      <c r="B26" s="372" t="s">
        <v>577</v>
      </c>
      <c r="C26" s="372" t="s">
        <v>469</v>
      </c>
      <c r="D26" s="251" t="s">
        <v>468</v>
      </c>
      <c r="E26" s="373"/>
      <c r="F26" s="373">
        <v>180000</v>
      </c>
      <c r="G26" s="374">
        <f t="shared" si="1"/>
        <v>-13630</v>
      </c>
      <c r="H26" s="251" t="s">
        <v>207</v>
      </c>
      <c r="I26" s="251" t="s">
        <v>578</v>
      </c>
      <c r="J26" s="232"/>
    </row>
    <row r="27" spans="1:10" ht="15.5">
      <c r="A27" s="371">
        <v>45706</v>
      </c>
      <c r="B27" s="372" t="s">
        <v>466</v>
      </c>
      <c r="C27" s="372" t="s">
        <v>127</v>
      </c>
      <c r="D27" s="251" t="s">
        <v>468</v>
      </c>
      <c r="E27" s="373">
        <v>300000</v>
      </c>
      <c r="F27" s="373"/>
      <c r="G27" s="374">
        <f t="shared" si="1"/>
        <v>286370</v>
      </c>
      <c r="H27" s="251" t="s">
        <v>207</v>
      </c>
      <c r="I27" s="251" t="s">
        <v>579</v>
      </c>
      <c r="J27" s="232"/>
    </row>
    <row r="28" spans="1:10" ht="15.5">
      <c r="A28" s="371">
        <v>45707</v>
      </c>
      <c r="B28" s="372" t="s">
        <v>466</v>
      </c>
      <c r="C28" s="372" t="s">
        <v>127</v>
      </c>
      <c r="D28" s="251" t="s">
        <v>468</v>
      </c>
      <c r="E28" s="373">
        <v>75000</v>
      </c>
      <c r="F28" s="373"/>
      <c r="G28" s="374">
        <f t="shared" si="1"/>
        <v>361370</v>
      </c>
      <c r="H28" s="251" t="s">
        <v>207</v>
      </c>
      <c r="I28" s="251" t="s">
        <v>580</v>
      </c>
      <c r="J28" s="232"/>
    </row>
    <row r="29" spans="1:10" ht="15.5">
      <c r="A29" s="371">
        <v>45710</v>
      </c>
      <c r="B29" s="372" t="s">
        <v>581</v>
      </c>
      <c r="C29" s="372" t="s">
        <v>469</v>
      </c>
      <c r="D29" s="251" t="s">
        <v>468</v>
      </c>
      <c r="E29" s="373"/>
      <c r="F29" s="373">
        <v>105000</v>
      </c>
      <c r="G29" s="374">
        <f t="shared" si="1"/>
        <v>256370</v>
      </c>
      <c r="H29" s="251" t="s">
        <v>207</v>
      </c>
      <c r="I29" s="251" t="s">
        <v>582</v>
      </c>
      <c r="J29" s="232"/>
    </row>
    <row r="30" spans="1:10" ht="15.5">
      <c r="A30" s="371">
        <v>45710</v>
      </c>
      <c r="B30" s="372" t="s">
        <v>466</v>
      </c>
      <c r="C30" s="372" t="s">
        <v>127</v>
      </c>
      <c r="D30" s="251" t="s">
        <v>468</v>
      </c>
      <c r="E30" s="373">
        <v>75000</v>
      </c>
      <c r="F30" s="373"/>
      <c r="G30" s="374">
        <f t="shared" si="1"/>
        <v>331370</v>
      </c>
      <c r="H30" s="251" t="s">
        <v>207</v>
      </c>
      <c r="I30" s="251" t="s">
        <v>583</v>
      </c>
      <c r="J30" s="232"/>
    </row>
    <row r="31" spans="1:10" ht="15.5">
      <c r="A31" s="371">
        <v>45711</v>
      </c>
      <c r="B31" s="372" t="s">
        <v>470</v>
      </c>
      <c r="C31" s="372" t="s">
        <v>127</v>
      </c>
      <c r="D31" s="251" t="s">
        <v>468</v>
      </c>
      <c r="E31" s="373"/>
      <c r="F31" s="373">
        <v>300000</v>
      </c>
      <c r="G31" s="374">
        <f t="shared" si="1"/>
        <v>31370</v>
      </c>
      <c r="H31" s="251" t="s">
        <v>207</v>
      </c>
      <c r="I31" s="251" t="s">
        <v>584</v>
      </c>
      <c r="J31" s="232"/>
    </row>
    <row r="32" spans="1:10" ht="15.5">
      <c r="A32" s="371">
        <v>45712</v>
      </c>
      <c r="B32" s="372" t="s">
        <v>585</v>
      </c>
      <c r="C32" s="372" t="s">
        <v>469</v>
      </c>
      <c r="D32" s="251" t="s">
        <v>468</v>
      </c>
      <c r="E32" s="373"/>
      <c r="F32" s="373">
        <v>10500</v>
      </c>
      <c r="G32" s="374">
        <f t="shared" si="1"/>
        <v>20870</v>
      </c>
      <c r="H32" s="251" t="s">
        <v>207</v>
      </c>
      <c r="I32" s="251" t="s">
        <v>586</v>
      </c>
      <c r="J32" s="232"/>
    </row>
    <row r="33" spans="1:10" ht="15.5">
      <c r="A33" s="371">
        <v>45712</v>
      </c>
      <c r="B33" s="372" t="s">
        <v>587</v>
      </c>
      <c r="C33" s="372" t="s">
        <v>469</v>
      </c>
      <c r="D33" s="251" t="s">
        <v>467</v>
      </c>
      <c r="E33" s="373"/>
      <c r="F33" s="373">
        <v>1500</v>
      </c>
      <c r="G33" s="374">
        <f t="shared" si="1"/>
        <v>19370</v>
      </c>
      <c r="H33" s="251" t="s">
        <v>207</v>
      </c>
      <c r="I33" s="251" t="s">
        <v>588</v>
      </c>
      <c r="J33" s="232"/>
    </row>
    <row r="34" spans="1:10" ht="15.5">
      <c r="A34" s="371">
        <v>45712</v>
      </c>
      <c r="B34" s="372" t="s">
        <v>466</v>
      </c>
      <c r="C34" s="372" t="s">
        <v>127</v>
      </c>
      <c r="D34" s="251" t="s">
        <v>467</v>
      </c>
      <c r="E34" s="373">
        <v>200000</v>
      </c>
      <c r="F34" s="373"/>
      <c r="G34" s="374">
        <f t="shared" si="1"/>
        <v>219370</v>
      </c>
      <c r="H34" s="251" t="s">
        <v>207</v>
      </c>
      <c r="I34" s="251" t="s">
        <v>589</v>
      </c>
      <c r="J34" s="232"/>
    </row>
    <row r="35" spans="1:10" ht="15.5">
      <c r="A35" s="371">
        <v>45713</v>
      </c>
      <c r="B35" s="372" t="s">
        <v>590</v>
      </c>
      <c r="C35" s="372" t="s">
        <v>272</v>
      </c>
      <c r="D35" s="251" t="s">
        <v>468</v>
      </c>
      <c r="E35" s="373"/>
      <c r="F35" s="373">
        <v>180000</v>
      </c>
      <c r="G35" s="374">
        <f t="shared" si="1"/>
        <v>39370</v>
      </c>
      <c r="H35" s="251" t="s">
        <v>207</v>
      </c>
      <c r="I35" s="251" t="s">
        <v>591</v>
      </c>
      <c r="J35" s="232"/>
    </row>
    <row r="36" spans="1:10" ht="15.5">
      <c r="A36" s="371">
        <v>45713</v>
      </c>
      <c r="B36" s="372" t="s">
        <v>592</v>
      </c>
      <c r="C36" s="372" t="s">
        <v>272</v>
      </c>
      <c r="D36" s="251" t="s">
        <v>468</v>
      </c>
      <c r="E36" s="373"/>
      <c r="F36" s="373">
        <v>20000</v>
      </c>
      <c r="G36" s="374">
        <f t="shared" si="1"/>
        <v>19370</v>
      </c>
      <c r="H36" s="251" t="s">
        <v>207</v>
      </c>
      <c r="I36" s="251" t="s">
        <v>593</v>
      </c>
      <c r="J36" s="232"/>
    </row>
    <row r="37" spans="1:10" ht="15.5">
      <c r="A37" s="371">
        <v>45713</v>
      </c>
      <c r="B37" s="372" t="s">
        <v>466</v>
      </c>
      <c r="C37" s="372" t="s">
        <v>127</v>
      </c>
      <c r="D37" s="251" t="s">
        <v>467</v>
      </c>
      <c r="E37" s="373">
        <v>70000</v>
      </c>
      <c r="F37" s="373"/>
      <c r="G37" s="374">
        <f t="shared" si="1"/>
        <v>89370</v>
      </c>
      <c r="H37" s="251" t="s">
        <v>207</v>
      </c>
      <c r="I37" s="251" t="s">
        <v>594</v>
      </c>
      <c r="J37" s="232"/>
    </row>
    <row r="38" spans="1:10" ht="15.5">
      <c r="A38" s="371">
        <v>45716</v>
      </c>
      <c r="B38" s="372" t="s">
        <v>595</v>
      </c>
      <c r="C38" s="372" t="s">
        <v>179</v>
      </c>
      <c r="D38" s="251" t="s">
        <v>467</v>
      </c>
      <c r="E38" s="373"/>
      <c r="F38" s="373">
        <v>14000</v>
      </c>
      <c r="G38" s="374">
        <f t="shared" si="1"/>
        <v>75370</v>
      </c>
      <c r="H38" s="251" t="s">
        <v>207</v>
      </c>
      <c r="I38" s="251" t="s">
        <v>596</v>
      </c>
      <c r="J38" s="232"/>
    </row>
    <row r="39" spans="1:10" ht="15.5">
      <c r="A39" s="371">
        <v>45716</v>
      </c>
      <c r="B39" s="372" t="s">
        <v>466</v>
      </c>
      <c r="C39" s="372" t="s">
        <v>127</v>
      </c>
      <c r="D39" s="251" t="s">
        <v>467</v>
      </c>
      <c r="E39" s="373">
        <v>75000</v>
      </c>
      <c r="F39" s="373"/>
      <c r="G39" s="374">
        <f t="shared" si="1"/>
        <v>150370</v>
      </c>
      <c r="H39" s="251" t="s">
        <v>207</v>
      </c>
      <c r="I39" s="251" t="s">
        <v>597</v>
      </c>
      <c r="J39" s="232"/>
    </row>
    <row r="40" spans="1:10" ht="15.5">
      <c r="A40" s="252"/>
      <c r="B40" s="232"/>
      <c r="C40" s="232"/>
      <c r="D40" s="232"/>
      <c r="E40" s="297">
        <f>SUM(E23:E39)</f>
        <v>929000</v>
      </c>
      <c r="F40" s="297">
        <f>SUM(F23:F39)</f>
        <v>818000</v>
      </c>
      <c r="G40" s="253">
        <f>+E40-F40+G23</f>
        <v>150370</v>
      </c>
      <c r="H40" s="232"/>
      <c r="I40" s="232"/>
      <c r="J40" s="232"/>
    </row>
    <row r="41" spans="1:10" ht="15.5">
      <c r="A41" s="342"/>
      <c r="B41" s="343"/>
      <c r="C41" s="344"/>
      <c r="D41" s="343"/>
      <c r="E41" s="345"/>
      <c r="F41" s="345"/>
      <c r="G41" s="346"/>
      <c r="H41" s="343"/>
      <c r="I41" s="343"/>
      <c r="J41" s="232"/>
    </row>
    <row r="42" spans="1:10" ht="15.5">
      <c r="A42" s="342"/>
      <c r="B42" s="343"/>
      <c r="C42" s="343"/>
      <c r="D42" s="343"/>
      <c r="E42" s="345"/>
      <c r="F42" s="345"/>
      <c r="G42" s="346"/>
      <c r="H42" s="343"/>
      <c r="I42" s="343"/>
      <c r="J42" s="232"/>
    </row>
    <row r="43" spans="1:10" ht="15.5">
      <c r="A43" s="252"/>
      <c r="B43" s="232"/>
      <c r="C43" s="233" t="s">
        <v>471</v>
      </c>
      <c r="D43" s="232"/>
      <c r="E43" s="234"/>
      <c r="F43" s="234"/>
      <c r="G43" s="235"/>
      <c r="H43" s="232"/>
      <c r="I43" s="232"/>
      <c r="J43" s="232"/>
    </row>
    <row r="44" spans="1:10" ht="15.5">
      <c r="A44" s="252"/>
      <c r="B44" s="232"/>
      <c r="C44" s="232"/>
      <c r="D44" s="232"/>
      <c r="E44" s="234"/>
      <c r="F44" s="234"/>
      <c r="G44" s="235"/>
      <c r="H44" s="232"/>
      <c r="I44" s="232"/>
      <c r="J44" s="232"/>
    </row>
    <row r="45" spans="1:10" ht="15.5">
      <c r="A45" s="254" t="s">
        <v>0</v>
      </c>
      <c r="B45" s="237" t="s">
        <v>458</v>
      </c>
      <c r="C45" s="237" t="s">
        <v>981</v>
      </c>
      <c r="D45" s="237" t="s">
        <v>459</v>
      </c>
      <c r="E45" s="238" t="s">
        <v>461</v>
      </c>
      <c r="F45" s="238" t="s">
        <v>462</v>
      </c>
      <c r="G45" s="239" t="s">
        <v>30</v>
      </c>
      <c r="H45" s="237" t="s">
        <v>463</v>
      </c>
      <c r="I45" s="237" t="s">
        <v>464</v>
      </c>
      <c r="J45" s="240"/>
    </row>
    <row r="46" spans="1:10" ht="15.5">
      <c r="A46" s="249">
        <v>45689</v>
      </c>
      <c r="B46" s="77" t="s">
        <v>530</v>
      </c>
      <c r="C46" s="77"/>
      <c r="D46" s="77"/>
      <c r="E46" s="77"/>
      <c r="F46" s="222"/>
      <c r="G46" s="255">
        <v>15400</v>
      </c>
      <c r="H46" s="77" t="s">
        <v>162</v>
      </c>
      <c r="I46" s="77"/>
      <c r="J46" s="232"/>
    </row>
    <row r="47" spans="1:10" ht="15.5">
      <c r="A47" s="249">
        <v>45691</v>
      </c>
      <c r="B47" s="351" t="s">
        <v>602</v>
      </c>
      <c r="C47" s="222" t="s">
        <v>122</v>
      </c>
      <c r="D47" s="222" t="s">
        <v>156</v>
      </c>
      <c r="E47" s="350">
        <v>42000</v>
      </c>
      <c r="F47" s="350"/>
      <c r="G47" s="356">
        <f>G46+E47-F47</f>
        <v>57400</v>
      </c>
      <c r="H47" s="168" t="s">
        <v>162</v>
      </c>
      <c r="I47" s="224" t="s">
        <v>603</v>
      </c>
      <c r="J47" s="232"/>
    </row>
    <row r="48" spans="1:10" ht="15.5">
      <c r="A48" s="249">
        <v>45691</v>
      </c>
      <c r="B48" s="351" t="s">
        <v>604</v>
      </c>
      <c r="C48" s="222" t="s">
        <v>120</v>
      </c>
      <c r="D48" s="222" t="s">
        <v>156</v>
      </c>
      <c r="E48" s="350">
        <v>74000</v>
      </c>
      <c r="F48" s="350"/>
      <c r="G48" s="356">
        <f t="shared" ref="G48:G111" si="2">G47+E48-F48</f>
        <v>131400</v>
      </c>
      <c r="H48" s="168" t="s">
        <v>162</v>
      </c>
      <c r="I48" s="224" t="s">
        <v>605</v>
      </c>
      <c r="J48" s="232"/>
    </row>
    <row r="49" spans="1:10" ht="15.5">
      <c r="A49" s="249">
        <v>45691</v>
      </c>
      <c r="B49" s="351" t="s">
        <v>606</v>
      </c>
      <c r="C49" s="222" t="s">
        <v>124</v>
      </c>
      <c r="D49" s="222" t="s">
        <v>156</v>
      </c>
      <c r="E49" s="350">
        <v>88000</v>
      </c>
      <c r="F49" s="355"/>
      <c r="G49" s="356">
        <f t="shared" si="2"/>
        <v>219400</v>
      </c>
      <c r="H49" s="168" t="s">
        <v>162</v>
      </c>
      <c r="I49" s="224" t="s">
        <v>607</v>
      </c>
      <c r="J49" s="232"/>
    </row>
    <row r="50" spans="1:10" ht="15.5">
      <c r="A50" s="249">
        <v>45691</v>
      </c>
      <c r="B50" s="351" t="s">
        <v>608</v>
      </c>
      <c r="C50" s="222" t="s">
        <v>123</v>
      </c>
      <c r="D50" s="222" t="s">
        <v>156</v>
      </c>
      <c r="E50" s="350">
        <v>10000</v>
      </c>
      <c r="F50" s="355"/>
      <c r="G50" s="356">
        <f t="shared" si="2"/>
        <v>229400</v>
      </c>
      <c r="H50" s="168" t="s">
        <v>162</v>
      </c>
      <c r="I50" s="224" t="s">
        <v>609</v>
      </c>
      <c r="J50" s="232"/>
    </row>
    <row r="51" spans="1:10" ht="15.5">
      <c r="A51" s="249">
        <v>45691</v>
      </c>
      <c r="B51" s="351" t="s">
        <v>610</v>
      </c>
      <c r="C51" s="222" t="s">
        <v>120</v>
      </c>
      <c r="D51" s="222" t="s">
        <v>156</v>
      </c>
      <c r="E51" s="350">
        <v>10000</v>
      </c>
      <c r="F51" s="355"/>
      <c r="G51" s="356">
        <f t="shared" si="2"/>
        <v>239400</v>
      </c>
      <c r="H51" s="168" t="s">
        <v>162</v>
      </c>
      <c r="I51" s="224" t="s">
        <v>611</v>
      </c>
      <c r="J51" s="232"/>
    </row>
    <row r="52" spans="1:10" ht="15.5">
      <c r="A52" s="249">
        <v>45691</v>
      </c>
      <c r="B52" s="351" t="s">
        <v>612</v>
      </c>
      <c r="C52" s="222" t="s">
        <v>124</v>
      </c>
      <c r="D52" s="222" t="s">
        <v>156</v>
      </c>
      <c r="E52" s="350">
        <v>16000</v>
      </c>
      <c r="F52" s="355"/>
      <c r="G52" s="356">
        <f t="shared" si="2"/>
        <v>255400</v>
      </c>
      <c r="H52" s="168" t="s">
        <v>162</v>
      </c>
      <c r="I52" s="224" t="s">
        <v>613</v>
      </c>
      <c r="J52" s="232"/>
    </row>
    <row r="53" spans="1:10" ht="15.5">
      <c r="A53" s="249">
        <v>45691</v>
      </c>
      <c r="B53" s="351" t="s">
        <v>614</v>
      </c>
      <c r="C53" s="222" t="s">
        <v>123</v>
      </c>
      <c r="D53" s="222" t="s">
        <v>156</v>
      </c>
      <c r="E53" s="350">
        <v>11000</v>
      </c>
      <c r="F53" s="355"/>
      <c r="G53" s="356">
        <f t="shared" si="2"/>
        <v>266400</v>
      </c>
      <c r="H53" s="168" t="s">
        <v>162</v>
      </c>
      <c r="I53" s="224" t="s">
        <v>615</v>
      </c>
      <c r="J53" s="232"/>
    </row>
    <row r="54" spans="1:10" ht="15.5">
      <c r="A54" s="249">
        <v>45691</v>
      </c>
      <c r="B54" s="351" t="s">
        <v>602</v>
      </c>
      <c r="C54" s="222" t="s">
        <v>122</v>
      </c>
      <c r="D54" s="222" t="s">
        <v>156</v>
      </c>
      <c r="E54" s="350"/>
      <c r="F54" s="355">
        <v>42000</v>
      </c>
      <c r="G54" s="356">
        <f t="shared" si="2"/>
        <v>224400</v>
      </c>
      <c r="H54" s="168" t="s">
        <v>162</v>
      </c>
      <c r="I54" s="224" t="s">
        <v>603</v>
      </c>
      <c r="J54" s="232"/>
    </row>
    <row r="55" spans="1:10" ht="15.5">
      <c r="A55" s="249">
        <v>45691</v>
      </c>
      <c r="B55" s="351" t="s">
        <v>604</v>
      </c>
      <c r="C55" s="222" t="s">
        <v>120</v>
      </c>
      <c r="D55" s="222" t="s">
        <v>156</v>
      </c>
      <c r="E55" s="350"/>
      <c r="F55" s="355">
        <v>74000</v>
      </c>
      <c r="G55" s="356">
        <f t="shared" si="2"/>
        <v>150400</v>
      </c>
      <c r="H55" s="168" t="s">
        <v>162</v>
      </c>
      <c r="I55" s="224" t="s">
        <v>605</v>
      </c>
      <c r="J55" s="232"/>
    </row>
    <row r="56" spans="1:10" ht="15.5">
      <c r="A56" s="249">
        <v>45691</v>
      </c>
      <c r="B56" s="351" t="s">
        <v>606</v>
      </c>
      <c r="C56" s="222" t="s">
        <v>124</v>
      </c>
      <c r="D56" s="222" t="s">
        <v>156</v>
      </c>
      <c r="E56" s="350"/>
      <c r="F56" s="355">
        <v>88000</v>
      </c>
      <c r="G56" s="356">
        <f t="shared" si="2"/>
        <v>62400</v>
      </c>
      <c r="H56" s="168" t="s">
        <v>162</v>
      </c>
      <c r="I56" s="224" t="s">
        <v>607</v>
      </c>
      <c r="J56" s="232"/>
    </row>
    <row r="57" spans="1:10" ht="15.5">
      <c r="A57" s="249">
        <v>45691</v>
      </c>
      <c r="B57" s="351" t="s">
        <v>608</v>
      </c>
      <c r="C57" s="222" t="s">
        <v>123</v>
      </c>
      <c r="D57" s="222" t="s">
        <v>156</v>
      </c>
      <c r="E57" s="350"/>
      <c r="F57" s="355">
        <v>10000</v>
      </c>
      <c r="G57" s="356">
        <f t="shared" si="2"/>
        <v>52400</v>
      </c>
      <c r="H57" s="168" t="s">
        <v>162</v>
      </c>
      <c r="I57" s="224" t="s">
        <v>609</v>
      </c>
      <c r="J57" s="232"/>
    </row>
    <row r="58" spans="1:10" ht="15.5">
      <c r="A58" s="249">
        <v>45691</v>
      </c>
      <c r="B58" s="351" t="s">
        <v>610</v>
      </c>
      <c r="C58" s="222" t="s">
        <v>120</v>
      </c>
      <c r="D58" s="222" t="s">
        <v>156</v>
      </c>
      <c r="E58" s="350"/>
      <c r="F58" s="350">
        <v>10000</v>
      </c>
      <c r="G58" s="356">
        <f t="shared" si="2"/>
        <v>42400</v>
      </c>
      <c r="H58" s="168" t="s">
        <v>162</v>
      </c>
      <c r="I58" s="224" t="s">
        <v>611</v>
      </c>
      <c r="J58" s="232"/>
    </row>
    <row r="59" spans="1:10" ht="15.5">
      <c r="A59" s="249">
        <v>45691</v>
      </c>
      <c r="B59" s="351" t="s">
        <v>612</v>
      </c>
      <c r="C59" s="222" t="s">
        <v>124</v>
      </c>
      <c r="D59" s="222" t="s">
        <v>156</v>
      </c>
      <c r="E59" s="350"/>
      <c r="F59" s="350">
        <v>16000</v>
      </c>
      <c r="G59" s="356">
        <f t="shared" si="2"/>
        <v>26400</v>
      </c>
      <c r="H59" s="168" t="s">
        <v>162</v>
      </c>
      <c r="I59" s="224" t="s">
        <v>613</v>
      </c>
      <c r="J59" s="232"/>
    </row>
    <row r="60" spans="1:10" ht="15.5">
      <c r="A60" s="249">
        <v>45691</v>
      </c>
      <c r="B60" s="351" t="s">
        <v>614</v>
      </c>
      <c r="C60" s="222" t="s">
        <v>123</v>
      </c>
      <c r="D60" s="222" t="s">
        <v>156</v>
      </c>
      <c r="E60" s="350"/>
      <c r="F60" s="355">
        <v>11000</v>
      </c>
      <c r="G60" s="356">
        <f t="shared" si="2"/>
        <v>15400</v>
      </c>
      <c r="H60" s="168" t="s">
        <v>162</v>
      </c>
      <c r="I60" s="224" t="s">
        <v>615</v>
      </c>
      <c r="J60" s="232"/>
    </row>
    <row r="61" spans="1:10" ht="15.5">
      <c r="A61" s="249">
        <v>45693</v>
      </c>
      <c r="B61" s="348" t="s">
        <v>625</v>
      </c>
      <c r="C61" s="351" t="s">
        <v>121</v>
      </c>
      <c r="D61" s="351" t="s">
        <v>177</v>
      </c>
      <c r="E61" s="350">
        <v>25000</v>
      </c>
      <c r="F61" s="355"/>
      <c r="G61" s="356">
        <f t="shared" si="2"/>
        <v>40400</v>
      </c>
      <c r="H61" s="348" t="s">
        <v>162</v>
      </c>
      <c r="I61" s="224" t="s">
        <v>626</v>
      </c>
      <c r="J61" s="232"/>
    </row>
    <row r="62" spans="1:10" ht="15.5">
      <c r="A62" s="249">
        <v>45693</v>
      </c>
      <c r="B62" s="348" t="s">
        <v>627</v>
      </c>
      <c r="C62" s="352" t="s">
        <v>121</v>
      </c>
      <c r="D62" s="351" t="s">
        <v>177</v>
      </c>
      <c r="E62" s="350">
        <v>63000</v>
      </c>
      <c r="F62" s="350"/>
      <c r="G62" s="356">
        <f t="shared" si="2"/>
        <v>103400</v>
      </c>
      <c r="H62" s="348" t="s">
        <v>162</v>
      </c>
      <c r="I62" s="224" t="s">
        <v>628</v>
      </c>
      <c r="J62" s="232"/>
    </row>
    <row r="63" spans="1:10" ht="15.5">
      <c r="A63" s="249">
        <v>45693</v>
      </c>
      <c r="B63" s="348" t="s">
        <v>625</v>
      </c>
      <c r="C63" s="351" t="s">
        <v>121</v>
      </c>
      <c r="D63" s="351" t="s">
        <v>177</v>
      </c>
      <c r="E63" s="350"/>
      <c r="F63" s="350">
        <v>25000</v>
      </c>
      <c r="G63" s="356">
        <f t="shared" si="2"/>
        <v>78400</v>
      </c>
      <c r="H63" s="348" t="s">
        <v>162</v>
      </c>
      <c r="I63" s="224" t="s">
        <v>626</v>
      </c>
      <c r="J63" s="232"/>
    </row>
    <row r="64" spans="1:10" ht="15.5">
      <c r="A64" s="249">
        <v>45693</v>
      </c>
      <c r="B64" s="348" t="s">
        <v>627</v>
      </c>
      <c r="C64" s="352" t="s">
        <v>121</v>
      </c>
      <c r="D64" s="351" t="s">
        <v>177</v>
      </c>
      <c r="E64" s="350"/>
      <c r="F64" s="350">
        <v>63000</v>
      </c>
      <c r="G64" s="356">
        <f t="shared" si="2"/>
        <v>15400</v>
      </c>
      <c r="H64" s="348" t="s">
        <v>162</v>
      </c>
      <c r="I64" s="224" t="s">
        <v>628</v>
      </c>
      <c r="J64" s="232"/>
    </row>
    <row r="65" spans="1:10" ht="15.5">
      <c r="A65" s="249">
        <v>45699</v>
      </c>
      <c r="B65" s="222" t="s">
        <v>640</v>
      </c>
      <c r="C65" s="351" t="s">
        <v>120</v>
      </c>
      <c r="D65" s="351" t="s">
        <v>130</v>
      </c>
      <c r="E65" s="350">
        <v>94430</v>
      </c>
      <c r="F65" s="350"/>
      <c r="G65" s="356">
        <f t="shared" si="2"/>
        <v>109830</v>
      </c>
      <c r="H65" s="352" t="s">
        <v>162</v>
      </c>
      <c r="I65" s="222" t="s">
        <v>641</v>
      </c>
      <c r="J65" s="232"/>
    </row>
    <row r="66" spans="1:10" ht="15.5">
      <c r="A66" s="249">
        <v>45699</v>
      </c>
      <c r="B66" s="222" t="s">
        <v>642</v>
      </c>
      <c r="C66" s="351" t="s">
        <v>120</v>
      </c>
      <c r="D66" s="351" t="s">
        <v>130</v>
      </c>
      <c r="E66" s="350">
        <v>30000</v>
      </c>
      <c r="F66" s="350"/>
      <c r="G66" s="356">
        <f t="shared" si="2"/>
        <v>139830</v>
      </c>
      <c r="H66" s="352" t="s">
        <v>162</v>
      </c>
      <c r="I66" s="222" t="s">
        <v>643</v>
      </c>
      <c r="J66" s="232"/>
    </row>
    <row r="67" spans="1:10" ht="15.5">
      <c r="A67" s="249">
        <v>45699</v>
      </c>
      <c r="B67" s="222" t="s">
        <v>644</v>
      </c>
      <c r="C67" s="351" t="s">
        <v>120</v>
      </c>
      <c r="D67" s="351" t="s">
        <v>130</v>
      </c>
      <c r="E67" s="350">
        <v>30000</v>
      </c>
      <c r="F67" s="350"/>
      <c r="G67" s="356">
        <f t="shared" si="2"/>
        <v>169830</v>
      </c>
      <c r="H67" s="352" t="s">
        <v>162</v>
      </c>
      <c r="I67" s="222" t="s">
        <v>645</v>
      </c>
      <c r="J67" s="232"/>
    </row>
    <row r="68" spans="1:10" ht="15.5">
      <c r="A68" s="249">
        <v>45699</v>
      </c>
      <c r="B68" s="222" t="s">
        <v>646</v>
      </c>
      <c r="C68" s="351" t="s">
        <v>120</v>
      </c>
      <c r="D68" s="351" t="s">
        <v>130</v>
      </c>
      <c r="E68" s="350">
        <v>30000</v>
      </c>
      <c r="F68" s="350"/>
      <c r="G68" s="356">
        <f t="shared" si="2"/>
        <v>199830</v>
      </c>
      <c r="H68" s="352" t="s">
        <v>162</v>
      </c>
      <c r="I68" s="222" t="s">
        <v>647</v>
      </c>
      <c r="J68" s="232"/>
    </row>
    <row r="69" spans="1:10" ht="15.5">
      <c r="A69" s="249">
        <v>45699</v>
      </c>
      <c r="B69" s="222" t="s">
        <v>648</v>
      </c>
      <c r="C69" s="351" t="s">
        <v>120</v>
      </c>
      <c r="D69" s="351" t="s">
        <v>130</v>
      </c>
      <c r="E69" s="350">
        <v>30000</v>
      </c>
      <c r="F69" s="355"/>
      <c r="G69" s="356">
        <f t="shared" si="2"/>
        <v>229830</v>
      </c>
      <c r="H69" s="352" t="s">
        <v>162</v>
      </c>
      <c r="I69" s="222" t="s">
        <v>649</v>
      </c>
      <c r="J69" s="232"/>
    </row>
    <row r="70" spans="1:10" ht="15.5">
      <c r="A70" s="249">
        <v>45699</v>
      </c>
      <c r="B70" s="222" t="s">
        <v>650</v>
      </c>
      <c r="C70" s="351" t="s">
        <v>123</v>
      </c>
      <c r="D70" s="351" t="s">
        <v>130</v>
      </c>
      <c r="E70" s="350">
        <v>30000</v>
      </c>
      <c r="F70" s="350"/>
      <c r="G70" s="356">
        <f t="shared" si="2"/>
        <v>259830</v>
      </c>
      <c r="H70" s="352" t="s">
        <v>162</v>
      </c>
      <c r="I70" s="222" t="s">
        <v>651</v>
      </c>
      <c r="J70" s="232"/>
    </row>
    <row r="71" spans="1:10" ht="15.5">
      <c r="A71" s="249">
        <v>45699</v>
      </c>
      <c r="B71" s="222" t="s">
        <v>652</v>
      </c>
      <c r="C71" s="351" t="s">
        <v>206</v>
      </c>
      <c r="D71" s="351" t="s">
        <v>272</v>
      </c>
      <c r="E71" s="350">
        <v>35000</v>
      </c>
      <c r="F71" s="350"/>
      <c r="G71" s="356">
        <f t="shared" si="2"/>
        <v>294830</v>
      </c>
      <c r="H71" s="352" t="s">
        <v>162</v>
      </c>
      <c r="I71" s="222" t="s">
        <v>653</v>
      </c>
      <c r="J71" s="232"/>
    </row>
    <row r="72" spans="1:10" ht="15.5">
      <c r="A72" s="249">
        <v>45699</v>
      </c>
      <c r="B72" s="222" t="s">
        <v>654</v>
      </c>
      <c r="C72" s="351" t="s">
        <v>206</v>
      </c>
      <c r="D72" s="351" t="s">
        <v>272</v>
      </c>
      <c r="E72" s="350">
        <v>30000</v>
      </c>
      <c r="F72" s="350"/>
      <c r="G72" s="356">
        <f t="shared" si="2"/>
        <v>324830</v>
      </c>
      <c r="H72" s="352" t="s">
        <v>162</v>
      </c>
      <c r="I72" s="222" t="s">
        <v>655</v>
      </c>
      <c r="J72" s="232"/>
    </row>
    <row r="73" spans="1:10" ht="15.5">
      <c r="A73" s="249">
        <v>45699</v>
      </c>
      <c r="B73" s="222" t="s">
        <v>656</v>
      </c>
      <c r="C73" s="351" t="s">
        <v>206</v>
      </c>
      <c r="D73" s="351" t="s">
        <v>272</v>
      </c>
      <c r="E73" s="350">
        <v>30000</v>
      </c>
      <c r="F73" s="350"/>
      <c r="G73" s="356">
        <f t="shared" si="2"/>
        <v>354830</v>
      </c>
      <c r="H73" s="352" t="s">
        <v>162</v>
      </c>
      <c r="I73" s="222" t="s">
        <v>657</v>
      </c>
      <c r="J73" s="232"/>
    </row>
    <row r="74" spans="1:10" ht="15.5">
      <c r="A74" s="249">
        <v>45699</v>
      </c>
      <c r="B74" s="222" t="s">
        <v>658</v>
      </c>
      <c r="C74" s="351" t="s">
        <v>206</v>
      </c>
      <c r="D74" s="351" t="s">
        <v>272</v>
      </c>
      <c r="E74" s="350">
        <v>30000</v>
      </c>
      <c r="F74" s="350"/>
      <c r="G74" s="356">
        <f t="shared" si="2"/>
        <v>384830</v>
      </c>
      <c r="H74" s="352" t="s">
        <v>162</v>
      </c>
      <c r="I74" s="222" t="s">
        <v>659</v>
      </c>
      <c r="J74" s="232"/>
    </row>
    <row r="75" spans="1:10" ht="15.5">
      <c r="A75" s="249">
        <v>45699</v>
      </c>
      <c r="B75" s="222" t="s">
        <v>640</v>
      </c>
      <c r="C75" s="351" t="s">
        <v>120</v>
      </c>
      <c r="D75" s="351" t="s">
        <v>130</v>
      </c>
      <c r="E75" s="350"/>
      <c r="F75" s="350">
        <v>94430</v>
      </c>
      <c r="G75" s="356">
        <f t="shared" si="2"/>
        <v>290400</v>
      </c>
      <c r="H75" s="352" t="s">
        <v>162</v>
      </c>
      <c r="I75" s="222" t="s">
        <v>641</v>
      </c>
      <c r="J75" s="232"/>
    </row>
    <row r="76" spans="1:10" ht="15.5">
      <c r="A76" s="249">
        <v>45699</v>
      </c>
      <c r="B76" s="222" t="s">
        <v>642</v>
      </c>
      <c r="C76" s="351" t="s">
        <v>120</v>
      </c>
      <c r="D76" s="351" t="s">
        <v>130</v>
      </c>
      <c r="E76" s="350"/>
      <c r="F76" s="350">
        <v>30000</v>
      </c>
      <c r="G76" s="356">
        <f t="shared" si="2"/>
        <v>260400</v>
      </c>
      <c r="H76" s="352" t="s">
        <v>162</v>
      </c>
      <c r="I76" s="222" t="s">
        <v>643</v>
      </c>
      <c r="J76" s="232"/>
    </row>
    <row r="77" spans="1:10" ht="15.5">
      <c r="A77" s="249">
        <v>45699</v>
      </c>
      <c r="B77" s="222" t="s">
        <v>644</v>
      </c>
      <c r="C77" s="351" t="s">
        <v>120</v>
      </c>
      <c r="D77" s="351" t="s">
        <v>130</v>
      </c>
      <c r="E77" s="350"/>
      <c r="F77" s="355">
        <v>30000</v>
      </c>
      <c r="G77" s="356">
        <f t="shared" si="2"/>
        <v>230400</v>
      </c>
      <c r="H77" s="352" t="s">
        <v>162</v>
      </c>
      <c r="I77" s="222" t="s">
        <v>645</v>
      </c>
      <c r="J77" s="232"/>
    </row>
    <row r="78" spans="1:10" ht="15.5">
      <c r="A78" s="249">
        <v>45699</v>
      </c>
      <c r="B78" s="222" t="s">
        <v>646</v>
      </c>
      <c r="C78" s="351" t="s">
        <v>120</v>
      </c>
      <c r="D78" s="351" t="s">
        <v>130</v>
      </c>
      <c r="E78" s="350"/>
      <c r="F78" s="355">
        <v>30000</v>
      </c>
      <c r="G78" s="356">
        <f t="shared" si="2"/>
        <v>200400</v>
      </c>
      <c r="H78" s="352" t="s">
        <v>162</v>
      </c>
      <c r="I78" s="222" t="s">
        <v>647</v>
      </c>
      <c r="J78" s="232"/>
    </row>
    <row r="79" spans="1:10" ht="15.5">
      <c r="A79" s="249">
        <v>45699</v>
      </c>
      <c r="B79" s="222" t="s">
        <v>648</v>
      </c>
      <c r="C79" s="351" t="s">
        <v>120</v>
      </c>
      <c r="D79" s="351" t="s">
        <v>130</v>
      </c>
      <c r="E79" s="350"/>
      <c r="F79" s="350">
        <v>30000</v>
      </c>
      <c r="G79" s="356">
        <f t="shared" si="2"/>
        <v>170400</v>
      </c>
      <c r="H79" s="352" t="s">
        <v>162</v>
      </c>
      <c r="I79" s="222" t="s">
        <v>649</v>
      </c>
      <c r="J79" s="240"/>
    </row>
    <row r="80" spans="1:10" ht="15.5">
      <c r="A80" s="249">
        <v>45699</v>
      </c>
      <c r="B80" s="222" t="s">
        <v>650</v>
      </c>
      <c r="C80" s="351" t="s">
        <v>123</v>
      </c>
      <c r="D80" s="351" t="s">
        <v>130</v>
      </c>
      <c r="E80" s="350"/>
      <c r="F80" s="350">
        <v>30000</v>
      </c>
      <c r="G80" s="356">
        <f t="shared" si="2"/>
        <v>140400</v>
      </c>
      <c r="H80" s="352" t="s">
        <v>162</v>
      </c>
      <c r="I80" s="222" t="s">
        <v>651</v>
      </c>
      <c r="J80" s="232"/>
    </row>
    <row r="81" spans="1:10" ht="15.5">
      <c r="A81" s="249">
        <v>45699</v>
      </c>
      <c r="B81" s="222" t="s">
        <v>652</v>
      </c>
      <c r="C81" s="351" t="s">
        <v>206</v>
      </c>
      <c r="D81" s="351" t="s">
        <v>272</v>
      </c>
      <c r="E81" s="350"/>
      <c r="F81" s="350">
        <v>35000</v>
      </c>
      <c r="G81" s="356">
        <f t="shared" si="2"/>
        <v>105400</v>
      </c>
      <c r="H81" s="352" t="s">
        <v>162</v>
      </c>
      <c r="I81" s="222" t="s">
        <v>653</v>
      </c>
      <c r="J81" s="232"/>
    </row>
    <row r="82" spans="1:10" ht="15.5">
      <c r="A82" s="249">
        <v>45699</v>
      </c>
      <c r="B82" s="222" t="s">
        <v>654</v>
      </c>
      <c r="C82" s="351" t="s">
        <v>206</v>
      </c>
      <c r="D82" s="351" t="s">
        <v>272</v>
      </c>
      <c r="E82" s="350"/>
      <c r="F82" s="350">
        <v>30000</v>
      </c>
      <c r="G82" s="356">
        <f t="shared" si="2"/>
        <v>75400</v>
      </c>
      <c r="H82" s="352" t="s">
        <v>162</v>
      </c>
      <c r="I82" s="222" t="s">
        <v>655</v>
      </c>
      <c r="J82" s="232"/>
    </row>
    <row r="83" spans="1:10" ht="15.5">
      <c r="A83" s="249">
        <v>45699</v>
      </c>
      <c r="B83" s="222" t="s">
        <v>656</v>
      </c>
      <c r="C83" s="351" t="s">
        <v>206</v>
      </c>
      <c r="D83" s="351" t="s">
        <v>272</v>
      </c>
      <c r="E83" s="350"/>
      <c r="F83" s="350">
        <v>30000</v>
      </c>
      <c r="G83" s="356">
        <f t="shared" si="2"/>
        <v>45400</v>
      </c>
      <c r="H83" s="352" t="s">
        <v>162</v>
      </c>
      <c r="I83" s="222" t="s">
        <v>657</v>
      </c>
      <c r="J83" s="232"/>
    </row>
    <row r="84" spans="1:10" ht="15.5">
      <c r="A84" s="249">
        <v>45699</v>
      </c>
      <c r="B84" s="222" t="s">
        <v>658</v>
      </c>
      <c r="C84" s="351" t="s">
        <v>206</v>
      </c>
      <c r="D84" s="351" t="s">
        <v>272</v>
      </c>
      <c r="E84" s="350"/>
      <c r="F84" s="350">
        <v>30000</v>
      </c>
      <c r="G84" s="356">
        <f t="shared" si="2"/>
        <v>15400</v>
      </c>
      <c r="H84" s="352" t="s">
        <v>162</v>
      </c>
      <c r="I84" s="222" t="s">
        <v>659</v>
      </c>
      <c r="J84" s="232"/>
    </row>
    <row r="85" spans="1:10" ht="15.5">
      <c r="A85" s="249">
        <v>45701</v>
      </c>
      <c r="B85" s="351" t="s">
        <v>667</v>
      </c>
      <c r="C85" s="352" t="s">
        <v>122</v>
      </c>
      <c r="D85" s="352" t="s">
        <v>130</v>
      </c>
      <c r="E85" s="350">
        <v>129464</v>
      </c>
      <c r="F85" s="355"/>
      <c r="G85" s="356">
        <f t="shared" si="2"/>
        <v>144864</v>
      </c>
      <c r="H85" s="352" t="s">
        <v>162</v>
      </c>
      <c r="I85" s="224" t="s">
        <v>668</v>
      </c>
      <c r="J85" s="232"/>
    </row>
    <row r="86" spans="1:10" ht="15.5">
      <c r="A86" s="249">
        <v>45701</v>
      </c>
      <c r="B86" s="351" t="s">
        <v>667</v>
      </c>
      <c r="C86" s="352" t="s">
        <v>122</v>
      </c>
      <c r="D86" s="351" t="s">
        <v>130</v>
      </c>
      <c r="E86" s="350">
        <v>80500</v>
      </c>
      <c r="F86" s="350"/>
      <c r="G86" s="356">
        <f t="shared" si="2"/>
        <v>225364</v>
      </c>
      <c r="H86" s="352" t="s">
        <v>162</v>
      </c>
      <c r="I86" s="224" t="s">
        <v>669</v>
      </c>
      <c r="J86" s="232"/>
    </row>
    <row r="87" spans="1:10" ht="15.5">
      <c r="A87" s="249">
        <v>45701</v>
      </c>
      <c r="B87" s="351" t="s">
        <v>667</v>
      </c>
      <c r="C87" s="352" t="s">
        <v>122</v>
      </c>
      <c r="D87" s="352" t="s">
        <v>130</v>
      </c>
      <c r="E87" s="350"/>
      <c r="F87" s="350">
        <v>129464</v>
      </c>
      <c r="G87" s="356">
        <f t="shared" si="2"/>
        <v>95900</v>
      </c>
      <c r="H87" s="352" t="s">
        <v>162</v>
      </c>
      <c r="I87" s="224" t="s">
        <v>668</v>
      </c>
      <c r="J87" s="232"/>
    </row>
    <row r="88" spans="1:10" ht="15.5">
      <c r="A88" s="249">
        <v>45701</v>
      </c>
      <c r="B88" s="351" t="s">
        <v>667</v>
      </c>
      <c r="C88" s="352" t="s">
        <v>122</v>
      </c>
      <c r="D88" s="351" t="s">
        <v>130</v>
      </c>
      <c r="E88" s="350"/>
      <c r="F88" s="350">
        <v>80500</v>
      </c>
      <c r="G88" s="356">
        <f t="shared" si="2"/>
        <v>15400</v>
      </c>
      <c r="H88" s="352" t="s">
        <v>162</v>
      </c>
      <c r="I88" s="224" t="s">
        <v>669</v>
      </c>
      <c r="J88" s="232"/>
    </row>
    <row r="89" spans="1:10" ht="15.5">
      <c r="A89" s="249">
        <v>45702</v>
      </c>
      <c r="B89" s="77" t="s">
        <v>472</v>
      </c>
      <c r="C89" s="77"/>
      <c r="D89" s="77" t="s">
        <v>127</v>
      </c>
      <c r="E89" s="258">
        <v>20000</v>
      </c>
      <c r="F89" s="258"/>
      <c r="G89" s="356">
        <f t="shared" si="2"/>
        <v>35400</v>
      </c>
      <c r="H89" s="77" t="s">
        <v>162</v>
      </c>
      <c r="I89" s="77" t="s">
        <v>801</v>
      </c>
      <c r="J89" s="232"/>
    </row>
    <row r="90" spans="1:10" ht="15.5">
      <c r="A90" s="249">
        <v>45702</v>
      </c>
      <c r="B90" s="351" t="s">
        <v>683</v>
      </c>
      <c r="C90" s="352" t="s">
        <v>122</v>
      </c>
      <c r="D90" s="352" t="s">
        <v>156</v>
      </c>
      <c r="E90" s="350">
        <v>30000</v>
      </c>
      <c r="F90" s="350"/>
      <c r="G90" s="356">
        <f t="shared" si="2"/>
        <v>65400</v>
      </c>
      <c r="H90" s="352" t="s">
        <v>162</v>
      </c>
      <c r="I90" s="224" t="s">
        <v>684</v>
      </c>
      <c r="J90" s="232"/>
    </row>
    <row r="91" spans="1:10" ht="15.5">
      <c r="A91" s="249">
        <v>45702</v>
      </c>
      <c r="B91" s="351" t="s">
        <v>685</v>
      </c>
      <c r="C91" s="352" t="s">
        <v>120</v>
      </c>
      <c r="D91" s="352" t="s">
        <v>156</v>
      </c>
      <c r="E91" s="350">
        <v>30000</v>
      </c>
      <c r="F91" s="350"/>
      <c r="G91" s="356">
        <f t="shared" si="2"/>
        <v>95400</v>
      </c>
      <c r="H91" s="352" t="s">
        <v>162</v>
      </c>
      <c r="I91" s="224" t="s">
        <v>686</v>
      </c>
      <c r="J91" s="232"/>
    </row>
    <row r="92" spans="1:10" ht="15.5">
      <c r="A92" s="249">
        <v>45702</v>
      </c>
      <c r="B92" s="351" t="s">
        <v>687</v>
      </c>
      <c r="C92" s="352" t="s">
        <v>124</v>
      </c>
      <c r="D92" s="352" t="s">
        <v>156</v>
      </c>
      <c r="E92" s="350">
        <v>55000</v>
      </c>
      <c r="F92" s="350"/>
      <c r="G92" s="356">
        <f t="shared" si="2"/>
        <v>150400</v>
      </c>
      <c r="H92" s="352" t="s">
        <v>162</v>
      </c>
      <c r="I92" s="224" t="s">
        <v>688</v>
      </c>
      <c r="J92" s="232"/>
    </row>
    <row r="93" spans="1:10" ht="15.5">
      <c r="A93" s="249">
        <v>45702</v>
      </c>
      <c r="B93" s="351" t="s">
        <v>689</v>
      </c>
      <c r="C93" s="352" t="s">
        <v>123</v>
      </c>
      <c r="D93" s="352" t="s">
        <v>156</v>
      </c>
      <c r="E93" s="350">
        <v>10000</v>
      </c>
      <c r="F93" s="350"/>
      <c r="G93" s="356">
        <f t="shared" si="2"/>
        <v>160400</v>
      </c>
      <c r="H93" s="352" t="s">
        <v>162</v>
      </c>
      <c r="I93" s="224" t="s">
        <v>690</v>
      </c>
      <c r="J93" s="232"/>
    </row>
    <row r="94" spans="1:10" ht="15.5">
      <c r="A94" s="249">
        <v>45702</v>
      </c>
      <c r="B94" s="351" t="s">
        <v>689</v>
      </c>
      <c r="C94" s="352" t="s">
        <v>120</v>
      </c>
      <c r="D94" s="352" t="s">
        <v>156</v>
      </c>
      <c r="E94" s="350">
        <v>10000</v>
      </c>
      <c r="F94" s="350"/>
      <c r="G94" s="356">
        <f t="shared" si="2"/>
        <v>170400</v>
      </c>
      <c r="H94" s="352" t="s">
        <v>162</v>
      </c>
      <c r="I94" s="224" t="s">
        <v>691</v>
      </c>
      <c r="J94" s="232"/>
    </row>
    <row r="95" spans="1:10" ht="15.5">
      <c r="A95" s="249">
        <v>45702</v>
      </c>
      <c r="B95" s="351" t="s">
        <v>692</v>
      </c>
      <c r="C95" s="352" t="s">
        <v>124</v>
      </c>
      <c r="D95" s="352" t="s">
        <v>156</v>
      </c>
      <c r="E95" s="350">
        <v>5000</v>
      </c>
      <c r="F95" s="350"/>
      <c r="G95" s="356">
        <f t="shared" si="2"/>
        <v>175400</v>
      </c>
      <c r="H95" s="352" t="s">
        <v>162</v>
      </c>
      <c r="I95" s="224" t="s">
        <v>693</v>
      </c>
      <c r="J95" s="232"/>
    </row>
    <row r="96" spans="1:10" ht="15.5">
      <c r="A96" s="249">
        <v>45702</v>
      </c>
      <c r="B96" s="351" t="s">
        <v>683</v>
      </c>
      <c r="C96" s="352" t="s">
        <v>122</v>
      </c>
      <c r="D96" s="352" t="s">
        <v>156</v>
      </c>
      <c r="E96" s="350"/>
      <c r="F96" s="350">
        <v>30000</v>
      </c>
      <c r="G96" s="356">
        <f t="shared" si="2"/>
        <v>145400</v>
      </c>
      <c r="H96" s="352" t="s">
        <v>162</v>
      </c>
      <c r="I96" s="224" t="s">
        <v>684</v>
      </c>
      <c r="J96" s="232"/>
    </row>
    <row r="97" spans="1:10" ht="15.5">
      <c r="A97" s="249">
        <v>45702</v>
      </c>
      <c r="B97" s="351" t="s">
        <v>685</v>
      </c>
      <c r="C97" s="352" t="s">
        <v>120</v>
      </c>
      <c r="D97" s="352" t="s">
        <v>156</v>
      </c>
      <c r="E97" s="350"/>
      <c r="F97" s="350">
        <v>30000</v>
      </c>
      <c r="G97" s="356">
        <f t="shared" si="2"/>
        <v>115400</v>
      </c>
      <c r="H97" s="352" t="s">
        <v>162</v>
      </c>
      <c r="I97" s="224" t="s">
        <v>686</v>
      </c>
      <c r="J97" s="232"/>
    </row>
    <row r="98" spans="1:10" ht="15.5">
      <c r="A98" s="249">
        <v>45702</v>
      </c>
      <c r="B98" s="351" t="s">
        <v>687</v>
      </c>
      <c r="C98" s="352" t="s">
        <v>124</v>
      </c>
      <c r="D98" s="352" t="s">
        <v>156</v>
      </c>
      <c r="E98" s="350"/>
      <c r="F98" s="350">
        <v>55000</v>
      </c>
      <c r="G98" s="356">
        <f t="shared" si="2"/>
        <v>60400</v>
      </c>
      <c r="H98" s="352" t="s">
        <v>162</v>
      </c>
      <c r="I98" s="224" t="s">
        <v>688</v>
      </c>
      <c r="J98" s="232"/>
    </row>
    <row r="99" spans="1:10" ht="15.5">
      <c r="A99" s="249">
        <v>45702</v>
      </c>
      <c r="B99" s="351" t="s">
        <v>689</v>
      </c>
      <c r="C99" s="352" t="s">
        <v>123</v>
      </c>
      <c r="D99" s="352" t="s">
        <v>156</v>
      </c>
      <c r="E99" s="350"/>
      <c r="F99" s="350">
        <v>10000</v>
      </c>
      <c r="G99" s="356">
        <f t="shared" si="2"/>
        <v>50400</v>
      </c>
      <c r="H99" s="352" t="s">
        <v>162</v>
      </c>
      <c r="I99" s="224" t="s">
        <v>690</v>
      </c>
      <c r="J99" s="232"/>
    </row>
    <row r="100" spans="1:10" ht="15.5">
      <c r="A100" s="249">
        <v>45702</v>
      </c>
      <c r="B100" s="351" t="s">
        <v>689</v>
      </c>
      <c r="C100" s="352" t="s">
        <v>120</v>
      </c>
      <c r="D100" s="352" t="s">
        <v>156</v>
      </c>
      <c r="E100" s="350"/>
      <c r="F100" s="350">
        <v>10000</v>
      </c>
      <c r="G100" s="356">
        <f t="shared" si="2"/>
        <v>40400</v>
      </c>
      <c r="H100" s="352" t="s">
        <v>162</v>
      </c>
      <c r="I100" s="224" t="s">
        <v>691</v>
      </c>
      <c r="J100" s="232"/>
    </row>
    <row r="101" spans="1:10" ht="15.5">
      <c r="A101" s="249">
        <v>45702</v>
      </c>
      <c r="B101" s="351" t="s">
        <v>692</v>
      </c>
      <c r="C101" s="352" t="s">
        <v>124</v>
      </c>
      <c r="D101" s="352" t="s">
        <v>156</v>
      </c>
      <c r="E101" s="350"/>
      <c r="F101" s="350">
        <v>5000</v>
      </c>
      <c r="G101" s="356">
        <f t="shared" si="2"/>
        <v>35400</v>
      </c>
      <c r="H101" s="352" t="s">
        <v>162</v>
      </c>
      <c r="I101" s="224" t="s">
        <v>693</v>
      </c>
      <c r="J101" s="232"/>
    </row>
    <row r="102" spans="1:10" ht="15.5">
      <c r="A102" s="249">
        <v>45705</v>
      </c>
      <c r="B102" s="351" t="s">
        <v>699</v>
      </c>
      <c r="C102" s="352" t="s">
        <v>124</v>
      </c>
      <c r="D102" s="352" t="s">
        <v>156</v>
      </c>
      <c r="E102" s="350">
        <v>15000</v>
      </c>
      <c r="F102" s="350"/>
      <c r="G102" s="356">
        <f t="shared" si="2"/>
        <v>50400</v>
      </c>
      <c r="H102" s="352" t="s">
        <v>162</v>
      </c>
      <c r="I102" s="224" t="s">
        <v>700</v>
      </c>
      <c r="J102" s="232"/>
    </row>
    <row r="103" spans="1:10" ht="15.5">
      <c r="A103" s="249">
        <v>45705</v>
      </c>
      <c r="B103" s="351" t="s">
        <v>699</v>
      </c>
      <c r="C103" s="352" t="s">
        <v>124</v>
      </c>
      <c r="D103" s="352" t="s">
        <v>156</v>
      </c>
      <c r="E103" s="350"/>
      <c r="F103" s="350">
        <v>15000</v>
      </c>
      <c r="G103" s="356">
        <f t="shared" si="2"/>
        <v>35400</v>
      </c>
      <c r="H103" s="352" t="s">
        <v>162</v>
      </c>
      <c r="I103" s="224" t="s">
        <v>700</v>
      </c>
      <c r="J103" s="232"/>
    </row>
    <row r="104" spans="1:10" ht="15.5">
      <c r="A104" s="249">
        <v>45707</v>
      </c>
      <c r="B104" s="222" t="s">
        <v>674</v>
      </c>
      <c r="C104" s="352" t="s">
        <v>124</v>
      </c>
      <c r="D104" s="222" t="s">
        <v>379</v>
      </c>
      <c r="E104" s="350">
        <v>30000</v>
      </c>
      <c r="F104" s="350"/>
      <c r="G104" s="356">
        <f t="shared" si="2"/>
        <v>65400</v>
      </c>
      <c r="H104" s="352" t="s">
        <v>162</v>
      </c>
      <c r="I104" s="224" t="s">
        <v>713</v>
      </c>
      <c r="J104" s="232"/>
    </row>
    <row r="105" spans="1:10" ht="15.5">
      <c r="A105" s="249">
        <v>45707</v>
      </c>
      <c r="B105" s="222" t="s">
        <v>714</v>
      </c>
      <c r="C105" s="352" t="s">
        <v>121</v>
      </c>
      <c r="D105" s="222" t="s">
        <v>188</v>
      </c>
      <c r="E105" s="350">
        <v>1952</v>
      </c>
      <c r="F105" s="350"/>
      <c r="G105" s="356">
        <f t="shared" si="2"/>
        <v>67352</v>
      </c>
      <c r="H105" s="352" t="s">
        <v>162</v>
      </c>
      <c r="I105" s="224" t="s">
        <v>715</v>
      </c>
      <c r="J105" s="232"/>
    </row>
    <row r="106" spans="1:10" ht="15.5">
      <c r="A106" s="249">
        <v>45707</v>
      </c>
      <c r="B106" s="222" t="s">
        <v>674</v>
      </c>
      <c r="C106" s="352" t="s">
        <v>124</v>
      </c>
      <c r="D106" s="222" t="s">
        <v>379</v>
      </c>
      <c r="E106" s="350"/>
      <c r="F106" s="350">
        <v>30000</v>
      </c>
      <c r="G106" s="356">
        <f t="shared" si="2"/>
        <v>37352</v>
      </c>
      <c r="H106" s="352" t="s">
        <v>162</v>
      </c>
      <c r="I106" s="224" t="s">
        <v>713</v>
      </c>
      <c r="J106" s="232"/>
    </row>
    <row r="107" spans="1:10" ht="15.5">
      <c r="A107" s="249">
        <v>45707</v>
      </c>
      <c r="B107" s="222" t="s">
        <v>714</v>
      </c>
      <c r="C107" s="352" t="s">
        <v>121</v>
      </c>
      <c r="D107" s="222" t="s">
        <v>188</v>
      </c>
      <c r="E107" s="350"/>
      <c r="F107" s="350">
        <v>1952</v>
      </c>
      <c r="G107" s="356">
        <f t="shared" si="2"/>
        <v>35400</v>
      </c>
      <c r="H107" s="352" t="s">
        <v>162</v>
      </c>
      <c r="I107" s="224" t="s">
        <v>715</v>
      </c>
      <c r="J107" s="232"/>
    </row>
    <row r="108" spans="1:10" ht="15.5">
      <c r="A108" s="249">
        <v>45712</v>
      </c>
      <c r="B108" s="222" t="s">
        <v>738</v>
      </c>
      <c r="C108" s="352" t="s">
        <v>122</v>
      </c>
      <c r="D108" s="222" t="s">
        <v>156</v>
      </c>
      <c r="E108" s="350">
        <v>5000</v>
      </c>
      <c r="F108" s="350"/>
      <c r="G108" s="356">
        <f t="shared" si="2"/>
        <v>40400</v>
      </c>
      <c r="H108" s="222" t="s">
        <v>162</v>
      </c>
      <c r="I108" s="224" t="s">
        <v>739</v>
      </c>
      <c r="J108" s="232"/>
    </row>
    <row r="109" spans="1:10" ht="15.5">
      <c r="A109" s="249">
        <v>45712</v>
      </c>
      <c r="B109" s="222" t="s">
        <v>738</v>
      </c>
      <c r="C109" s="352" t="s">
        <v>122</v>
      </c>
      <c r="D109" s="222" t="s">
        <v>156</v>
      </c>
      <c r="E109" s="350"/>
      <c r="F109" s="350">
        <v>5000</v>
      </c>
      <c r="G109" s="356">
        <f t="shared" si="2"/>
        <v>35400</v>
      </c>
      <c r="H109" s="222" t="s">
        <v>162</v>
      </c>
      <c r="I109" s="224" t="s">
        <v>739</v>
      </c>
      <c r="J109" s="232"/>
    </row>
    <row r="110" spans="1:10" ht="15.5">
      <c r="A110" s="249">
        <v>45714</v>
      </c>
      <c r="B110" s="222" t="s">
        <v>752</v>
      </c>
      <c r="C110" s="352" t="s">
        <v>120</v>
      </c>
      <c r="D110" s="222" t="s">
        <v>263</v>
      </c>
      <c r="E110" s="350">
        <v>148000</v>
      </c>
      <c r="F110" s="350"/>
      <c r="G110" s="356">
        <f t="shared" si="2"/>
        <v>183400</v>
      </c>
      <c r="H110" s="222" t="s">
        <v>162</v>
      </c>
      <c r="I110" s="224" t="s">
        <v>753</v>
      </c>
      <c r="J110" s="232"/>
    </row>
    <row r="111" spans="1:10" ht="15.5">
      <c r="A111" s="249">
        <v>45714</v>
      </c>
      <c r="B111" s="222" t="s">
        <v>752</v>
      </c>
      <c r="C111" s="352" t="s">
        <v>120</v>
      </c>
      <c r="D111" s="222" t="s">
        <v>263</v>
      </c>
      <c r="E111" s="350"/>
      <c r="F111" s="350">
        <v>148000</v>
      </c>
      <c r="G111" s="356">
        <f t="shared" si="2"/>
        <v>35400</v>
      </c>
      <c r="H111" s="222" t="s">
        <v>162</v>
      </c>
      <c r="I111" s="224" t="s">
        <v>753</v>
      </c>
      <c r="J111" s="232"/>
    </row>
    <row r="112" spans="1:10" ht="15.5">
      <c r="A112" s="249">
        <v>45715</v>
      </c>
      <c r="B112" s="77" t="s">
        <v>757</v>
      </c>
      <c r="C112" s="77" t="s">
        <v>121</v>
      </c>
      <c r="D112" s="77" t="s">
        <v>312</v>
      </c>
      <c r="E112" s="360">
        <v>20000</v>
      </c>
      <c r="F112" s="360"/>
      <c r="G112" s="356">
        <f t="shared" ref="G112:G122" si="3">G111+E112-F112</f>
        <v>55400</v>
      </c>
      <c r="H112" s="77" t="s">
        <v>162</v>
      </c>
      <c r="I112" s="224" t="s">
        <v>758</v>
      </c>
      <c r="J112" s="232"/>
    </row>
    <row r="113" spans="1:10" ht="15.5">
      <c r="A113" s="249">
        <v>45715</v>
      </c>
      <c r="B113" s="77" t="s">
        <v>757</v>
      </c>
      <c r="C113" s="77" t="s">
        <v>121</v>
      </c>
      <c r="D113" s="77" t="s">
        <v>312</v>
      </c>
      <c r="E113" s="360"/>
      <c r="F113" s="360">
        <v>20000</v>
      </c>
      <c r="G113" s="356">
        <f t="shared" si="3"/>
        <v>35400</v>
      </c>
      <c r="H113" s="77" t="s">
        <v>162</v>
      </c>
      <c r="I113" s="224" t="s">
        <v>758</v>
      </c>
      <c r="J113" s="232"/>
    </row>
    <row r="114" spans="1:10" ht="15.5">
      <c r="A114" s="249">
        <v>45716</v>
      </c>
      <c r="B114" s="77" t="s">
        <v>802</v>
      </c>
      <c r="C114" s="77" t="s">
        <v>121</v>
      </c>
      <c r="D114" s="77" t="s">
        <v>179</v>
      </c>
      <c r="E114" s="258"/>
      <c r="F114" s="258">
        <v>35500</v>
      </c>
      <c r="G114" s="356">
        <f t="shared" si="3"/>
        <v>-100</v>
      </c>
      <c r="H114" s="77" t="s">
        <v>162</v>
      </c>
      <c r="I114" s="77" t="s">
        <v>803</v>
      </c>
      <c r="J114" s="240"/>
    </row>
    <row r="115" spans="1:10" ht="15.5">
      <c r="A115" s="249">
        <v>45716</v>
      </c>
      <c r="B115" s="348" t="s">
        <v>761</v>
      </c>
      <c r="C115" s="348" t="s">
        <v>121</v>
      </c>
      <c r="D115" s="348" t="s">
        <v>312</v>
      </c>
      <c r="E115" s="350">
        <v>6000</v>
      </c>
      <c r="F115" s="350"/>
      <c r="G115" s="356">
        <f t="shared" si="3"/>
        <v>5900</v>
      </c>
      <c r="H115" s="352" t="s">
        <v>162</v>
      </c>
      <c r="I115" s="224" t="s">
        <v>762</v>
      </c>
      <c r="J115" s="232"/>
    </row>
    <row r="116" spans="1:10" ht="15.5">
      <c r="A116" s="249">
        <v>45716</v>
      </c>
      <c r="B116" s="222" t="s">
        <v>767</v>
      </c>
      <c r="C116" s="222" t="s">
        <v>121</v>
      </c>
      <c r="D116" s="222" t="s">
        <v>768</v>
      </c>
      <c r="E116" s="350">
        <v>45050</v>
      </c>
      <c r="F116" s="350"/>
      <c r="G116" s="356">
        <f t="shared" si="3"/>
        <v>50950</v>
      </c>
      <c r="H116" s="222" t="s">
        <v>162</v>
      </c>
      <c r="I116" s="224" t="s">
        <v>769</v>
      </c>
      <c r="J116" s="232"/>
    </row>
    <row r="117" spans="1:10" ht="15.5">
      <c r="A117" s="249">
        <v>45716</v>
      </c>
      <c r="B117" s="222" t="s">
        <v>772</v>
      </c>
      <c r="C117" s="352" t="s">
        <v>121</v>
      </c>
      <c r="D117" s="222" t="s">
        <v>177</v>
      </c>
      <c r="E117" s="350">
        <v>182000</v>
      </c>
      <c r="F117" s="350"/>
      <c r="G117" s="356">
        <f t="shared" si="3"/>
        <v>232950</v>
      </c>
      <c r="H117" s="222" t="s">
        <v>162</v>
      </c>
      <c r="I117" s="224" t="s">
        <v>773</v>
      </c>
      <c r="J117" s="232"/>
    </row>
    <row r="118" spans="1:10" ht="15.5">
      <c r="A118" s="249">
        <v>45716</v>
      </c>
      <c r="B118" s="222" t="s">
        <v>774</v>
      </c>
      <c r="C118" s="352" t="s">
        <v>121</v>
      </c>
      <c r="D118" s="349" t="s">
        <v>130</v>
      </c>
      <c r="E118" s="350">
        <v>10500</v>
      </c>
      <c r="F118" s="350"/>
      <c r="G118" s="356">
        <f t="shared" si="3"/>
        <v>243450</v>
      </c>
      <c r="H118" s="222" t="s">
        <v>162</v>
      </c>
      <c r="I118" s="224" t="s">
        <v>775</v>
      </c>
      <c r="J118" s="232"/>
    </row>
    <row r="119" spans="1:10" ht="15.5">
      <c r="A119" s="249">
        <v>45716</v>
      </c>
      <c r="B119" s="348" t="s">
        <v>761</v>
      </c>
      <c r="C119" s="348" t="s">
        <v>121</v>
      </c>
      <c r="D119" s="348" t="s">
        <v>312</v>
      </c>
      <c r="E119" s="350"/>
      <c r="F119" s="350">
        <v>6000</v>
      </c>
      <c r="G119" s="356">
        <f t="shared" si="3"/>
        <v>237450</v>
      </c>
      <c r="H119" s="352" t="s">
        <v>162</v>
      </c>
      <c r="I119" s="224" t="s">
        <v>762</v>
      </c>
      <c r="J119" s="232"/>
    </row>
    <row r="120" spans="1:10" ht="15.5">
      <c r="A120" s="249">
        <v>45716</v>
      </c>
      <c r="B120" s="222" t="s">
        <v>767</v>
      </c>
      <c r="C120" s="222" t="s">
        <v>121</v>
      </c>
      <c r="D120" s="222" t="s">
        <v>768</v>
      </c>
      <c r="E120" s="350"/>
      <c r="F120" s="350">
        <v>45050</v>
      </c>
      <c r="G120" s="356">
        <f t="shared" si="3"/>
        <v>192400</v>
      </c>
      <c r="H120" s="222" t="s">
        <v>162</v>
      </c>
      <c r="I120" s="224" t="s">
        <v>769</v>
      </c>
      <c r="J120" s="232"/>
    </row>
    <row r="121" spans="1:10" ht="15.5">
      <c r="A121" s="249">
        <v>45716</v>
      </c>
      <c r="B121" s="222" t="s">
        <v>772</v>
      </c>
      <c r="C121" s="352" t="s">
        <v>121</v>
      </c>
      <c r="D121" s="222" t="s">
        <v>177</v>
      </c>
      <c r="E121" s="350"/>
      <c r="F121" s="350">
        <v>182000</v>
      </c>
      <c r="G121" s="356">
        <f t="shared" si="3"/>
        <v>10400</v>
      </c>
      <c r="H121" s="222" t="s">
        <v>162</v>
      </c>
      <c r="I121" s="224" t="s">
        <v>773</v>
      </c>
      <c r="J121" s="232"/>
    </row>
    <row r="122" spans="1:10" ht="15.5">
      <c r="A122" s="249">
        <v>45716</v>
      </c>
      <c r="B122" s="222" t="s">
        <v>774</v>
      </c>
      <c r="C122" s="352" t="s">
        <v>121</v>
      </c>
      <c r="D122" s="349" t="s">
        <v>130</v>
      </c>
      <c r="E122" s="350"/>
      <c r="F122" s="350">
        <v>10500</v>
      </c>
      <c r="G122" s="356">
        <f t="shared" si="3"/>
        <v>-100</v>
      </c>
      <c r="H122" s="222" t="s">
        <v>162</v>
      </c>
      <c r="I122" s="224" t="s">
        <v>775</v>
      </c>
      <c r="J122" s="232"/>
    </row>
    <row r="123" spans="1:10" ht="15.5">
      <c r="A123" s="395"/>
      <c r="B123" s="396"/>
      <c r="C123" s="396"/>
      <c r="D123" s="397"/>
      <c r="E123" s="261">
        <f>SUM(E46:E122)</f>
        <v>1541896</v>
      </c>
      <c r="F123" s="261">
        <f>SUM(F46:F122)</f>
        <v>1557396</v>
      </c>
      <c r="G123" s="262">
        <f>E123-F123+G46</f>
        <v>-100</v>
      </c>
      <c r="H123" s="250"/>
      <c r="I123" s="250"/>
      <c r="J123" s="263"/>
    </row>
    <row r="124" spans="1:10" ht="15.5">
      <c r="A124" s="264"/>
      <c r="B124" s="264"/>
      <c r="C124" s="264"/>
      <c r="D124" s="264"/>
      <c r="E124" s="265"/>
      <c r="F124" s="265"/>
      <c r="G124" s="266"/>
      <c r="H124" s="263"/>
      <c r="I124" s="263"/>
      <c r="J124" s="263"/>
    </row>
    <row r="125" spans="1:10" ht="15.5">
      <c r="A125" s="342"/>
      <c r="B125" s="343"/>
      <c r="C125" s="343"/>
      <c r="D125" s="343"/>
      <c r="E125" s="345"/>
      <c r="F125" s="345"/>
      <c r="G125" s="346"/>
      <c r="H125" s="343"/>
      <c r="I125" s="343"/>
      <c r="J125" s="263"/>
    </row>
    <row r="126" spans="1:10" ht="15.5">
      <c r="A126" s="252"/>
      <c r="B126" s="232"/>
      <c r="C126" s="233" t="s">
        <v>804</v>
      </c>
      <c r="D126" s="232"/>
      <c r="E126" s="234"/>
      <c r="F126" s="234"/>
      <c r="G126" s="235"/>
      <c r="H126" s="232"/>
      <c r="I126" s="232"/>
      <c r="J126" s="263"/>
    </row>
    <row r="127" spans="1:10" ht="15.5">
      <c r="A127" s="252"/>
      <c r="B127" s="232"/>
      <c r="C127" s="232"/>
      <c r="D127" s="232"/>
      <c r="E127" s="234"/>
      <c r="F127" s="234"/>
      <c r="G127" s="235"/>
      <c r="H127" s="232"/>
      <c r="I127" s="232"/>
      <c r="J127" s="263"/>
    </row>
    <row r="128" spans="1:10" ht="15.5">
      <c r="A128" s="254" t="s">
        <v>0</v>
      </c>
      <c r="B128" s="237" t="s">
        <v>458</v>
      </c>
      <c r="C128" s="237" t="s">
        <v>460</v>
      </c>
      <c r="D128" s="237" t="s">
        <v>459</v>
      </c>
      <c r="E128" s="238" t="s">
        <v>461</v>
      </c>
      <c r="F128" s="238" t="s">
        <v>462</v>
      </c>
      <c r="G128" s="239" t="s">
        <v>30</v>
      </c>
      <c r="H128" s="237" t="s">
        <v>463</v>
      </c>
      <c r="I128" s="237" t="s">
        <v>464</v>
      </c>
      <c r="J128" s="263"/>
    </row>
    <row r="129" spans="1:10" ht="15.5">
      <c r="A129" s="249">
        <v>45689</v>
      </c>
      <c r="B129" s="77" t="s">
        <v>530</v>
      </c>
      <c r="C129" s="77"/>
      <c r="D129" s="77"/>
      <c r="E129" s="77"/>
      <c r="F129" s="222"/>
      <c r="G129" s="255">
        <v>0</v>
      </c>
      <c r="H129" s="77" t="s">
        <v>671</v>
      </c>
      <c r="I129" s="77"/>
      <c r="J129" s="263"/>
    </row>
    <row r="130" spans="1:10" ht="15.5">
      <c r="A130" s="249">
        <v>45702</v>
      </c>
      <c r="B130" s="77" t="s">
        <v>805</v>
      </c>
      <c r="C130" s="285"/>
      <c r="D130" s="77" t="s">
        <v>127</v>
      </c>
      <c r="E130" s="256">
        <v>20000</v>
      </c>
      <c r="F130" s="274"/>
      <c r="G130" s="256">
        <f t="shared" ref="G130:G143" si="4">+G129+E130-F130</f>
        <v>20000</v>
      </c>
      <c r="H130" s="77" t="s">
        <v>671</v>
      </c>
      <c r="I130" s="77" t="s">
        <v>806</v>
      </c>
      <c r="J130" s="263"/>
    </row>
    <row r="131" spans="1:10" ht="15.5">
      <c r="A131" s="249">
        <v>45702</v>
      </c>
      <c r="B131" s="351" t="s">
        <v>681</v>
      </c>
      <c r="C131" s="352" t="s">
        <v>121</v>
      </c>
      <c r="D131" s="352" t="s">
        <v>188</v>
      </c>
      <c r="E131" s="350">
        <v>11310</v>
      </c>
      <c r="F131" s="350"/>
      <c r="G131" s="256">
        <f t="shared" si="4"/>
        <v>31310</v>
      </c>
      <c r="H131" s="352" t="s">
        <v>671</v>
      </c>
      <c r="I131" s="224" t="s">
        <v>682</v>
      </c>
      <c r="J131" s="263"/>
    </row>
    <row r="132" spans="1:10" ht="15.5">
      <c r="A132" s="249">
        <v>45702</v>
      </c>
      <c r="B132" s="351" t="s">
        <v>681</v>
      </c>
      <c r="C132" s="352" t="s">
        <v>121</v>
      </c>
      <c r="D132" s="352" t="s">
        <v>188</v>
      </c>
      <c r="E132" s="350"/>
      <c r="F132" s="350">
        <v>11310</v>
      </c>
      <c r="G132" s="256">
        <f t="shared" si="4"/>
        <v>20000</v>
      </c>
      <c r="H132" s="352" t="s">
        <v>671</v>
      </c>
      <c r="I132" s="224" t="s">
        <v>682</v>
      </c>
      <c r="J132" s="263"/>
    </row>
    <row r="133" spans="1:10" ht="15.5">
      <c r="A133" s="249">
        <v>45706</v>
      </c>
      <c r="B133" s="222" t="s">
        <v>702</v>
      </c>
      <c r="C133" s="352" t="s">
        <v>121</v>
      </c>
      <c r="D133" s="222" t="s">
        <v>188</v>
      </c>
      <c r="E133" s="350">
        <v>9000</v>
      </c>
      <c r="F133" s="350"/>
      <c r="G133" s="256">
        <f t="shared" si="4"/>
        <v>29000</v>
      </c>
      <c r="H133" s="352" t="s">
        <v>671</v>
      </c>
      <c r="I133" s="224" t="s">
        <v>703</v>
      </c>
      <c r="J133" s="263"/>
    </row>
    <row r="134" spans="1:10" ht="15.5">
      <c r="A134" s="249">
        <v>45706</v>
      </c>
      <c r="B134" s="222" t="s">
        <v>702</v>
      </c>
      <c r="C134" s="352" t="s">
        <v>121</v>
      </c>
      <c r="D134" s="222" t="s">
        <v>188</v>
      </c>
      <c r="E134" s="350"/>
      <c r="F134" s="355">
        <v>9000</v>
      </c>
      <c r="G134" s="256">
        <f t="shared" si="4"/>
        <v>20000</v>
      </c>
      <c r="H134" s="352" t="s">
        <v>671</v>
      </c>
      <c r="I134" s="224" t="s">
        <v>703</v>
      </c>
      <c r="J134" s="263"/>
    </row>
    <row r="135" spans="1:10" ht="15.5">
      <c r="A135" s="249">
        <v>45707</v>
      </c>
      <c r="B135" s="222" t="s">
        <v>716</v>
      </c>
      <c r="C135" s="352" t="s">
        <v>121</v>
      </c>
      <c r="D135" s="222" t="s">
        <v>188</v>
      </c>
      <c r="E135" s="350">
        <v>14250</v>
      </c>
      <c r="F135" s="350"/>
      <c r="G135" s="256">
        <f t="shared" si="4"/>
        <v>34250</v>
      </c>
      <c r="H135" s="352" t="s">
        <v>671</v>
      </c>
      <c r="I135" s="224" t="s">
        <v>717</v>
      </c>
      <c r="J135" s="263"/>
    </row>
    <row r="136" spans="1:10" ht="15.5">
      <c r="A136" s="249">
        <v>45707</v>
      </c>
      <c r="B136" s="222" t="s">
        <v>716</v>
      </c>
      <c r="C136" s="352" t="s">
        <v>121</v>
      </c>
      <c r="D136" s="222" t="s">
        <v>188</v>
      </c>
      <c r="E136" s="350"/>
      <c r="F136" s="350">
        <v>14250</v>
      </c>
      <c r="G136" s="256">
        <f t="shared" si="4"/>
        <v>20000</v>
      </c>
      <c r="H136" s="352" t="s">
        <v>671</v>
      </c>
      <c r="I136" s="224" t="s">
        <v>717</v>
      </c>
      <c r="J136" s="263"/>
    </row>
    <row r="137" spans="1:10" ht="15.5">
      <c r="A137" s="249">
        <v>45714</v>
      </c>
      <c r="B137" s="222" t="s">
        <v>716</v>
      </c>
      <c r="C137" s="352" t="s">
        <v>121</v>
      </c>
      <c r="D137" s="222" t="s">
        <v>188</v>
      </c>
      <c r="E137" s="350">
        <v>10980</v>
      </c>
      <c r="F137" s="350"/>
      <c r="G137" s="256">
        <f t="shared" si="4"/>
        <v>30980</v>
      </c>
      <c r="H137" s="222" t="s">
        <v>671</v>
      </c>
      <c r="I137" s="224" t="s">
        <v>751</v>
      </c>
      <c r="J137" s="263"/>
    </row>
    <row r="138" spans="1:10" ht="15.5">
      <c r="A138" s="249">
        <v>45714</v>
      </c>
      <c r="B138" s="222" t="s">
        <v>716</v>
      </c>
      <c r="C138" s="352" t="s">
        <v>121</v>
      </c>
      <c r="D138" s="222" t="s">
        <v>188</v>
      </c>
      <c r="E138" s="350"/>
      <c r="F138" s="350">
        <v>10980</v>
      </c>
      <c r="G138" s="256">
        <f t="shared" si="4"/>
        <v>20000</v>
      </c>
      <c r="H138" s="222" t="s">
        <v>671</v>
      </c>
      <c r="I138" s="224" t="s">
        <v>751</v>
      </c>
      <c r="J138" s="263"/>
    </row>
    <row r="139" spans="1:10" ht="15.5">
      <c r="A139" s="249">
        <v>45716</v>
      </c>
      <c r="B139" s="77" t="s">
        <v>807</v>
      </c>
      <c r="C139" s="77" t="s">
        <v>121</v>
      </c>
      <c r="D139" s="77" t="s">
        <v>179</v>
      </c>
      <c r="E139" s="256"/>
      <c r="F139" s="274">
        <v>7000</v>
      </c>
      <c r="G139" s="256">
        <f t="shared" si="4"/>
        <v>13000</v>
      </c>
      <c r="H139" s="77" t="s">
        <v>671</v>
      </c>
      <c r="I139" s="77" t="s">
        <v>808</v>
      </c>
      <c r="J139" s="263"/>
    </row>
    <row r="140" spans="1:10" ht="15.5">
      <c r="A140" s="249">
        <v>45716</v>
      </c>
      <c r="B140" s="222" t="s">
        <v>765</v>
      </c>
      <c r="C140" s="222" t="s">
        <v>188</v>
      </c>
      <c r="D140" s="222" t="s">
        <v>188</v>
      </c>
      <c r="E140" s="350">
        <v>7020</v>
      </c>
      <c r="F140" s="350"/>
      <c r="G140" s="256">
        <f t="shared" si="4"/>
        <v>20020</v>
      </c>
      <c r="H140" s="222" t="s">
        <v>671</v>
      </c>
      <c r="I140" s="224" t="s">
        <v>766</v>
      </c>
      <c r="J140" s="263"/>
    </row>
    <row r="141" spans="1:10" ht="15.5">
      <c r="A141" s="249">
        <v>45716</v>
      </c>
      <c r="B141" s="222" t="s">
        <v>770</v>
      </c>
      <c r="C141" s="222" t="s">
        <v>312</v>
      </c>
      <c r="D141" s="222" t="s">
        <v>312</v>
      </c>
      <c r="E141" s="350">
        <v>75625</v>
      </c>
      <c r="F141" s="350"/>
      <c r="G141" s="256">
        <f t="shared" si="4"/>
        <v>95645</v>
      </c>
      <c r="H141" s="222" t="s">
        <v>671</v>
      </c>
      <c r="I141" s="224" t="s">
        <v>771</v>
      </c>
      <c r="J141" s="263"/>
    </row>
    <row r="142" spans="1:10" ht="15.5">
      <c r="A142" s="249">
        <v>45716</v>
      </c>
      <c r="B142" s="222" t="s">
        <v>765</v>
      </c>
      <c r="C142" s="222" t="s">
        <v>188</v>
      </c>
      <c r="D142" s="222" t="s">
        <v>188</v>
      </c>
      <c r="E142" s="350"/>
      <c r="F142" s="350">
        <v>7020</v>
      </c>
      <c r="G142" s="256">
        <f t="shared" si="4"/>
        <v>88625</v>
      </c>
      <c r="H142" s="222" t="s">
        <v>671</v>
      </c>
      <c r="I142" s="224" t="s">
        <v>766</v>
      </c>
      <c r="J142" s="263"/>
    </row>
    <row r="143" spans="1:10" ht="15.5">
      <c r="A143" s="249">
        <v>45716</v>
      </c>
      <c r="B143" s="222" t="s">
        <v>770</v>
      </c>
      <c r="C143" s="222" t="s">
        <v>312</v>
      </c>
      <c r="D143" s="222" t="s">
        <v>312</v>
      </c>
      <c r="E143" s="350"/>
      <c r="F143" s="350">
        <v>75625</v>
      </c>
      <c r="G143" s="256">
        <f t="shared" si="4"/>
        <v>13000</v>
      </c>
      <c r="H143" s="222" t="s">
        <v>671</v>
      </c>
      <c r="I143" s="224" t="s">
        <v>771</v>
      </c>
      <c r="J143" s="263"/>
    </row>
    <row r="144" spans="1:10" ht="15.5">
      <c r="A144" s="264"/>
      <c r="B144" s="264"/>
      <c r="C144" s="264"/>
      <c r="D144" s="264"/>
      <c r="E144" s="265">
        <f>SUM(E130:E143)</f>
        <v>148185</v>
      </c>
      <c r="F144" s="265">
        <f>SUM(F130:F143)</f>
        <v>135185</v>
      </c>
      <c r="G144" s="266">
        <f>+E144-F144+G129</f>
        <v>13000</v>
      </c>
      <c r="H144" s="263"/>
      <c r="I144" s="263"/>
      <c r="J144" s="263"/>
    </row>
    <row r="145" spans="1:10" ht="15.5">
      <c r="A145" s="264"/>
      <c r="B145" s="264"/>
      <c r="C145" s="264"/>
      <c r="D145" s="264"/>
      <c r="E145" s="265"/>
      <c r="F145" s="265"/>
      <c r="G145" s="266"/>
      <c r="H145" s="263"/>
      <c r="I145" s="263"/>
      <c r="J145" s="263"/>
    </row>
    <row r="146" spans="1:10" ht="15.5">
      <c r="A146" s="264"/>
      <c r="B146" s="264"/>
      <c r="C146" s="264"/>
      <c r="D146" s="264"/>
      <c r="E146" s="265"/>
      <c r="F146" s="265"/>
      <c r="G146" s="266"/>
      <c r="H146" s="263"/>
      <c r="I146" s="263"/>
      <c r="J146" s="263"/>
    </row>
    <row r="147" spans="1:10" ht="15.5">
      <c r="A147" s="231"/>
      <c r="B147" s="232"/>
      <c r="C147" s="233" t="s">
        <v>1073</v>
      </c>
      <c r="D147" s="232"/>
      <c r="E147" s="234"/>
      <c r="F147" s="234"/>
      <c r="G147" s="235"/>
      <c r="H147" s="232"/>
      <c r="I147" s="232"/>
      <c r="J147" s="232"/>
    </row>
    <row r="148" spans="1:10" ht="15.5">
      <c r="A148" s="231"/>
      <c r="B148" s="232"/>
      <c r="C148" s="232"/>
      <c r="D148" s="232"/>
      <c r="E148" s="234"/>
      <c r="F148" s="234"/>
      <c r="G148" s="235"/>
      <c r="H148" s="232"/>
      <c r="I148" s="232"/>
      <c r="J148" s="232"/>
    </row>
    <row r="149" spans="1:10" ht="15.5">
      <c r="A149" s="236" t="s">
        <v>0</v>
      </c>
      <c r="B149" s="237" t="s">
        <v>458</v>
      </c>
      <c r="C149" s="237" t="s">
        <v>459</v>
      </c>
      <c r="D149" s="237" t="s">
        <v>460</v>
      </c>
      <c r="E149" s="238" t="s">
        <v>461</v>
      </c>
      <c r="F149" s="238" t="s">
        <v>462</v>
      </c>
      <c r="G149" s="239" t="s">
        <v>30</v>
      </c>
      <c r="H149" s="237" t="s">
        <v>463</v>
      </c>
      <c r="I149" s="237" t="s">
        <v>464</v>
      </c>
      <c r="J149" s="240"/>
    </row>
    <row r="150" spans="1:10" ht="15.5">
      <c r="A150" s="241">
        <v>45689</v>
      </c>
      <c r="B150" s="242" t="s">
        <v>900</v>
      </c>
      <c r="C150" s="242"/>
      <c r="D150" s="242"/>
      <c r="E150" s="243"/>
      <c r="F150" s="243"/>
      <c r="G150" s="244">
        <v>56110</v>
      </c>
      <c r="H150" s="267" t="s">
        <v>190</v>
      </c>
      <c r="I150" s="242"/>
      <c r="J150" s="232"/>
    </row>
    <row r="151" spans="1:10" ht="15.5">
      <c r="A151" s="241">
        <v>45692</v>
      </c>
      <c r="B151" s="250" t="s">
        <v>809</v>
      </c>
      <c r="C151" s="250" t="s">
        <v>127</v>
      </c>
      <c r="D151" s="250"/>
      <c r="E151" s="250">
        <v>40000</v>
      </c>
      <c r="F151" s="250"/>
      <c r="G151" s="391">
        <f t="shared" ref="G151:G176" si="5">+G150+E151-F151</f>
        <v>96110</v>
      </c>
      <c r="H151" s="250" t="s">
        <v>190</v>
      </c>
      <c r="I151" s="250" t="s">
        <v>810</v>
      </c>
      <c r="J151" s="232"/>
    </row>
    <row r="152" spans="1:10" ht="15.5">
      <c r="A152" s="241">
        <v>45692</v>
      </c>
      <c r="B152" s="250" t="s">
        <v>1002</v>
      </c>
      <c r="C152" s="250" t="s">
        <v>179</v>
      </c>
      <c r="D152" s="250" t="s">
        <v>124</v>
      </c>
      <c r="E152" s="250"/>
      <c r="F152" s="250">
        <v>6000</v>
      </c>
      <c r="G152" s="391">
        <f t="shared" si="5"/>
        <v>90110</v>
      </c>
      <c r="H152" s="250" t="s">
        <v>190</v>
      </c>
      <c r="I152" s="250" t="s">
        <v>811</v>
      </c>
      <c r="J152" s="232"/>
    </row>
    <row r="153" spans="1:10" ht="15.5">
      <c r="A153" s="241">
        <v>45693</v>
      </c>
      <c r="B153" s="250" t="s">
        <v>1072</v>
      </c>
      <c r="C153" s="250" t="s">
        <v>183</v>
      </c>
      <c r="D153" s="250" t="s">
        <v>124</v>
      </c>
      <c r="E153" s="250"/>
      <c r="F153" s="250">
        <v>230000</v>
      </c>
      <c r="G153" s="391">
        <f t="shared" si="5"/>
        <v>-139890</v>
      </c>
      <c r="H153" s="250" t="s">
        <v>190</v>
      </c>
      <c r="I153" s="250" t="s">
        <v>812</v>
      </c>
      <c r="J153" s="232"/>
    </row>
    <row r="154" spans="1:10" ht="15.5">
      <c r="A154" s="241">
        <v>45694</v>
      </c>
      <c r="B154" s="250" t="s">
        <v>809</v>
      </c>
      <c r="C154" s="250" t="s">
        <v>127</v>
      </c>
      <c r="D154" s="250"/>
      <c r="E154" s="250">
        <v>191000</v>
      </c>
      <c r="F154" s="250"/>
      <c r="G154" s="391">
        <f t="shared" si="5"/>
        <v>51110</v>
      </c>
      <c r="H154" s="250" t="s">
        <v>190</v>
      </c>
      <c r="I154" s="250" t="s">
        <v>813</v>
      </c>
      <c r="J154" s="232"/>
    </row>
    <row r="155" spans="1:10" ht="15.5">
      <c r="A155" s="241">
        <v>45695</v>
      </c>
      <c r="B155" s="250" t="s">
        <v>1002</v>
      </c>
      <c r="C155" s="250" t="s">
        <v>179</v>
      </c>
      <c r="D155" s="250" t="s">
        <v>124</v>
      </c>
      <c r="E155" s="250"/>
      <c r="F155" s="250">
        <v>5000</v>
      </c>
      <c r="G155" s="391">
        <f t="shared" si="5"/>
        <v>46110</v>
      </c>
      <c r="H155" s="250" t="s">
        <v>190</v>
      </c>
      <c r="I155" s="250" t="s">
        <v>814</v>
      </c>
      <c r="J155" s="232"/>
    </row>
    <row r="156" spans="1:10" ht="15.5">
      <c r="A156" s="241">
        <v>45695</v>
      </c>
      <c r="B156" s="250" t="s">
        <v>1003</v>
      </c>
      <c r="C156" s="250" t="s">
        <v>183</v>
      </c>
      <c r="D156" s="250" t="s">
        <v>124</v>
      </c>
      <c r="E156" s="250"/>
      <c r="F156" s="250">
        <v>30000</v>
      </c>
      <c r="G156" s="391">
        <f t="shared" si="5"/>
        <v>16110</v>
      </c>
      <c r="H156" s="250" t="s">
        <v>190</v>
      </c>
      <c r="I156" s="250" t="s">
        <v>815</v>
      </c>
      <c r="J156" s="232"/>
    </row>
    <row r="157" spans="1:10" ht="15.5">
      <c r="A157" s="241">
        <v>45697</v>
      </c>
      <c r="B157" s="250" t="s">
        <v>1004</v>
      </c>
      <c r="C157" s="250" t="s">
        <v>183</v>
      </c>
      <c r="D157" s="250" t="s">
        <v>124</v>
      </c>
      <c r="E157" s="250"/>
      <c r="F157" s="250">
        <v>30000</v>
      </c>
      <c r="G157" s="391">
        <f t="shared" si="5"/>
        <v>-13890</v>
      </c>
      <c r="H157" s="250" t="s">
        <v>190</v>
      </c>
      <c r="I157" s="250" t="s">
        <v>816</v>
      </c>
      <c r="J157" s="232"/>
    </row>
    <row r="158" spans="1:10" ht="15.5">
      <c r="A158" s="241">
        <v>45697</v>
      </c>
      <c r="B158" s="250" t="s">
        <v>1002</v>
      </c>
      <c r="C158" s="250" t="s">
        <v>179</v>
      </c>
      <c r="D158" s="250" t="s">
        <v>124</v>
      </c>
      <c r="E158" s="250"/>
      <c r="F158" s="250">
        <v>5000</v>
      </c>
      <c r="G158" s="391">
        <f t="shared" si="5"/>
        <v>-18890</v>
      </c>
      <c r="H158" s="250" t="s">
        <v>190</v>
      </c>
      <c r="I158" s="250" t="s">
        <v>817</v>
      </c>
      <c r="J158" s="232"/>
    </row>
    <row r="159" spans="1:10" ht="15.5">
      <c r="A159" s="241">
        <v>45697</v>
      </c>
      <c r="B159" s="273" t="s">
        <v>818</v>
      </c>
      <c r="C159" s="250" t="s">
        <v>379</v>
      </c>
      <c r="D159" s="250" t="s">
        <v>124</v>
      </c>
      <c r="E159" s="250"/>
      <c r="F159" s="250">
        <v>39500</v>
      </c>
      <c r="G159" s="391">
        <f t="shared" si="5"/>
        <v>-58390</v>
      </c>
      <c r="H159" s="250" t="s">
        <v>190</v>
      </c>
      <c r="I159" s="250" t="s">
        <v>819</v>
      </c>
      <c r="J159" s="232"/>
    </row>
    <row r="160" spans="1:10" ht="15.5">
      <c r="A160" s="241">
        <v>45698</v>
      </c>
      <c r="B160" s="250" t="s">
        <v>1071</v>
      </c>
      <c r="C160" s="250" t="s">
        <v>183</v>
      </c>
      <c r="D160" s="250" t="s">
        <v>124</v>
      </c>
      <c r="E160" s="250"/>
      <c r="F160" s="250">
        <v>15000</v>
      </c>
      <c r="G160" s="391">
        <f t="shared" si="5"/>
        <v>-73390</v>
      </c>
      <c r="H160" s="250" t="s">
        <v>190</v>
      </c>
      <c r="I160" s="250" t="s">
        <v>820</v>
      </c>
      <c r="J160" s="232"/>
    </row>
    <row r="161" spans="1:10" ht="15.5">
      <c r="A161" s="241">
        <v>45698</v>
      </c>
      <c r="B161" s="250" t="s">
        <v>821</v>
      </c>
      <c r="C161" s="250" t="s">
        <v>179</v>
      </c>
      <c r="D161" s="250" t="s">
        <v>124</v>
      </c>
      <c r="E161" s="250"/>
      <c r="F161" s="250">
        <v>5000</v>
      </c>
      <c r="G161" s="391">
        <f t="shared" si="5"/>
        <v>-78390</v>
      </c>
      <c r="H161" s="250" t="s">
        <v>190</v>
      </c>
      <c r="I161" s="250" t="s">
        <v>822</v>
      </c>
      <c r="J161" s="232"/>
    </row>
    <row r="162" spans="1:10" ht="15.5">
      <c r="A162" s="241">
        <v>45699</v>
      </c>
      <c r="B162" s="250" t="s">
        <v>809</v>
      </c>
      <c r="C162" s="250" t="s">
        <v>127</v>
      </c>
      <c r="D162" s="250"/>
      <c r="E162" s="250">
        <v>224000</v>
      </c>
      <c r="F162" s="250"/>
      <c r="G162" s="391">
        <f t="shared" si="5"/>
        <v>145610</v>
      </c>
      <c r="H162" s="250" t="s">
        <v>190</v>
      </c>
      <c r="I162" s="250" t="s">
        <v>823</v>
      </c>
      <c r="J162" s="232"/>
    </row>
    <row r="163" spans="1:10" ht="15.5">
      <c r="A163" s="241">
        <v>45702</v>
      </c>
      <c r="B163" s="250" t="s">
        <v>809</v>
      </c>
      <c r="C163" s="250" t="s">
        <v>127</v>
      </c>
      <c r="D163" s="250"/>
      <c r="E163" s="250">
        <v>158000</v>
      </c>
      <c r="F163" s="250"/>
      <c r="G163" s="391">
        <f t="shared" si="5"/>
        <v>303610</v>
      </c>
      <c r="H163" s="250" t="s">
        <v>190</v>
      </c>
      <c r="I163" s="250" t="s">
        <v>824</v>
      </c>
      <c r="J163" s="232"/>
    </row>
    <row r="164" spans="1:10" ht="15.5">
      <c r="A164" s="241">
        <v>45707</v>
      </c>
      <c r="B164" s="250" t="s">
        <v>809</v>
      </c>
      <c r="C164" s="250" t="s">
        <v>127</v>
      </c>
      <c r="D164" s="250"/>
      <c r="E164" s="250">
        <v>75000</v>
      </c>
      <c r="F164" s="250"/>
      <c r="G164" s="391">
        <f t="shared" si="5"/>
        <v>378610</v>
      </c>
      <c r="H164" s="250" t="s">
        <v>190</v>
      </c>
      <c r="I164" s="250" t="s">
        <v>825</v>
      </c>
      <c r="J164" s="232"/>
    </row>
    <row r="165" spans="1:10" ht="15.5">
      <c r="A165" s="241">
        <v>45710</v>
      </c>
      <c r="B165" s="250" t="s">
        <v>809</v>
      </c>
      <c r="C165" s="250" t="s">
        <v>127</v>
      </c>
      <c r="D165" s="250"/>
      <c r="E165" s="250">
        <v>75000</v>
      </c>
      <c r="F165" s="250"/>
      <c r="G165" s="391">
        <f t="shared" si="5"/>
        <v>453610</v>
      </c>
      <c r="H165" s="250" t="s">
        <v>190</v>
      </c>
      <c r="I165" s="250" t="s">
        <v>826</v>
      </c>
      <c r="J165" s="232"/>
    </row>
    <row r="166" spans="1:10" ht="15.5">
      <c r="A166" s="241">
        <v>45711</v>
      </c>
      <c r="B166" s="250" t="s">
        <v>809</v>
      </c>
      <c r="C166" s="250" t="s">
        <v>127</v>
      </c>
      <c r="D166" s="250"/>
      <c r="E166" s="250">
        <v>70000</v>
      </c>
      <c r="F166" s="250"/>
      <c r="G166" s="391">
        <f t="shared" si="5"/>
        <v>523610</v>
      </c>
      <c r="H166" s="250" t="s">
        <v>190</v>
      </c>
      <c r="I166" s="250" t="s">
        <v>827</v>
      </c>
      <c r="J166" s="232"/>
    </row>
    <row r="167" spans="1:10" ht="15.5">
      <c r="A167" s="241">
        <v>45712</v>
      </c>
      <c r="B167" s="250" t="s">
        <v>1006</v>
      </c>
      <c r="C167" s="250" t="s">
        <v>183</v>
      </c>
      <c r="D167" s="250" t="s">
        <v>124</v>
      </c>
      <c r="E167" s="250"/>
      <c r="F167" s="250">
        <v>210000</v>
      </c>
      <c r="G167" s="391">
        <f t="shared" si="5"/>
        <v>313610</v>
      </c>
      <c r="H167" s="250" t="s">
        <v>190</v>
      </c>
      <c r="I167" s="250" t="s">
        <v>828</v>
      </c>
      <c r="J167" s="232"/>
    </row>
    <row r="168" spans="1:10" ht="15.5">
      <c r="A168" s="241">
        <v>45712</v>
      </c>
      <c r="B168" s="250" t="s">
        <v>1014</v>
      </c>
      <c r="C168" s="250" t="s">
        <v>179</v>
      </c>
      <c r="D168" s="250" t="s">
        <v>124</v>
      </c>
      <c r="E168" s="250"/>
      <c r="F168" s="250">
        <v>50000</v>
      </c>
      <c r="G168" s="391">
        <f t="shared" si="5"/>
        <v>263610</v>
      </c>
      <c r="H168" s="250" t="s">
        <v>190</v>
      </c>
      <c r="I168" s="250" t="s">
        <v>829</v>
      </c>
      <c r="J168" s="232"/>
    </row>
    <row r="169" spans="1:10" ht="15.5">
      <c r="A169" s="241">
        <v>45712</v>
      </c>
      <c r="B169" s="250" t="s">
        <v>1070</v>
      </c>
      <c r="C169" s="250" t="s">
        <v>179</v>
      </c>
      <c r="D169" s="250" t="s">
        <v>124</v>
      </c>
      <c r="E169" s="250"/>
      <c r="F169" s="250">
        <v>8000</v>
      </c>
      <c r="G169" s="391">
        <f t="shared" si="5"/>
        <v>255610</v>
      </c>
      <c r="H169" s="250" t="s">
        <v>190</v>
      </c>
      <c r="I169" s="250" t="s">
        <v>830</v>
      </c>
      <c r="J169" s="232"/>
    </row>
    <row r="170" spans="1:10" ht="15.5">
      <c r="A170" s="241">
        <v>45712</v>
      </c>
      <c r="B170" s="250" t="s">
        <v>1069</v>
      </c>
      <c r="C170" s="250" t="s">
        <v>179</v>
      </c>
      <c r="D170" s="250" t="s">
        <v>124</v>
      </c>
      <c r="E170" s="250"/>
      <c r="F170" s="250">
        <v>8000</v>
      </c>
      <c r="G170" s="391">
        <f t="shared" si="5"/>
        <v>247610</v>
      </c>
      <c r="H170" s="250" t="s">
        <v>190</v>
      </c>
      <c r="I170" s="250" t="s">
        <v>831</v>
      </c>
      <c r="J170" s="232"/>
    </row>
    <row r="171" spans="1:10" ht="15.5">
      <c r="A171" s="241">
        <v>45712</v>
      </c>
      <c r="B171" s="250" t="s">
        <v>809</v>
      </c>
      <c r="C171" s="250" t="s">
        <v>127</v>
      </c>
      <c r="D171" s="250"/>
      <c r="E171" s="250">
        <v>150000</v>
      </c>
      <c r="F171" s="250"/>
      <c r="G171" s="391">
        <f t="shared" si="5"/>
        <v>397610</v>
      </c>
      <c r="H171" s="250" t="s">
        <v>190</v>
      </c>
      <c r="I171" s="250" t="s">
        <v>832</v>
      </c>
      <c r="J171" s="232"/>
    </row>
    <row r="172" spans="1:10" ht="15.5">
      <c r="A172" s="241">
        <v>45713</v>
      </c>
      <c r="B172" s="250" t="s">
        <v>1068</v>
      </c>
      <c r="C172" s="250" t="s">
        <v>469</v>
      </c>
      <c r="D172" s="250" t="s">
        <v>124</v>
      </c>
      <c r="E172" s="250"/>
      <c r="F172" s="250">
        <v>105000</v>
      </c>
      <c r="G172" s="391">
        <f t="shared" si="5"/>
        <v>292610</v>
      </c>
      <c r="H172" s="250" t="s">
        <v>190</v>
      </c>
      <c r="I172" s="250" t="s">
        <v>833</v>
      </c>
      <c r="J172" s="232"/>
    </row>
    <row r="173" spans="1:10" ht="15.5">
      <c r="A173" s="241">
        <v>45713</v>
      </c>
      <c r="B173" s="250" t="s">
        <v>1066</v>
      </c>
      <c r="C173" s="250" t="s">
        <v>469</v>
      </c>
      <c r="D173" s="250" t="s">
        <v>124</v>
      </c>
      <c r="E173" s="250"/>
      <c r="F173" s="250">
        <v>105000</v>
      </c>
      <c r="G173" s="391">
        <f t="shared" si="5"/>
        <v>187610</v>
      </c>
      <c r="H173" s="250" t="s">
        <v>190</v>
      </c>
      <c r="I173" s="250" t="s">
        <v>834</v>
      </c>
      <c r="J173" s="232"/>
    </row>
    <row r="174" spans="1:10" ht="15.5">
      <c r="A174" s="241">
        <v>45716</v>
      </c>
      <c r="B174" s="250" t="s">
        <v>1067</v>
      </c>
      <c r="C174" s="250" t="s">
        <v>179</v>
      </c>
      <c r="D174" s="250" t="s">
        <v>124</v>
      </c>
      <c r="E174" s="250"/>
      <c r="F174" s="250">
        <v>6000</v>
      </c>
      <c r="G174" s="391">
        <f t="shared" si="5"/>
        <v>181610</v>
      </c>
      <c r="H174" s="250" t="s">
        <v>190</v>
      </c>
      <c r="I174" s="250" t="s">
        <v>835</v>
      </c>
      <c r="J174" s="232"/>
    </row>
    <row r="175" spans="1:10" ht="15.5">
      <c r="A175" s="241">
        <v>45716</v>
      </c>
      <c r="B175" s="250" t="s">
        <v>1007</v>
      </c>
      <c r="C175" s="250" t="s">
        <v>183</v>
      </c>
      <c r="D175" s="250" t="s">
        <v>124</v>
      </c>
      <c r="E175" s="250"/>
      <c r="F175" s="250">
        <v>60000</v>
      </c>
      <c r="G175" s="391">
        <f t="shared" si="5"/>
        <v>121610</v>
      </c>
      <c r="H175" s="250" t="s">
        <v>190</v>
      </c>
      <c r="I175" s="250" t="s">
        <v>836</v>
      </c>
      <c r="J175" s="232"/>
    </row>
    <row r="176" spans="1:10" ht="15.5">
      <c r="A176" s="241">
        <v>45716</v>
      </c>
      <c r="B176" s="250" t="s">
        <v>837</v>
      </c>
      <c r="C176" s="250" t="s">
        <v>179</v>
      </c>
      <c r="D176" s="250" t="s">
        <v>124</v>
      </c>
      <c r="E176" s="250"/>
      <c r="F176" s="250">
        <v>66800</v>
      </c>
      <c r="G176" s="391">
        <f t="shared" si="5"/>
        <v>54810</v>
      </c>
      <c r="H176" s="250" t="s">
        <v>190</v>
      </c>
      <c r="I176" s="250" t="s">
        <v>838</v>
      </c>
      <c r="J176" s="232"/>
    </row>
    <row r="177" spans="1:10" ht="15.5">
      <c r="A177" s="231"/>
      <c r="B177" s="232"/>
      <c r="C177" s="232"/>
      <c r="D177" s="232"/>
      <c r="E177" s="234">
        <f>SUM(E151:E176)</f>
        <v>983000</v>
      </c>
      <c r="F177" s="234">
        <f>SUM(F151:F176)</f>
        <v>984300</v>
      </c>
      <c r="G177" s="253">
        <f>+E177-F177+G150</f>
        <v>54810</v>
      </c>
      <c r="H177" s="232"/>
      <c r="I177" s="232"/>
      <c r="J177" s="232"/>
    </row>
    <row r="178" spans="1:10" ht="15.5">
      <c r="A178" s="231"/>
      <c r="B178" s="232"/>
      <c r="C178" s="233" t="s">
        <v>1065</v>
      </c>
      <c r="D178" s="232"/>
      <c r="E178" s="234"/>
      <c r="F178" s="234"/>
      <c r="G178" s="235"/>
      <c r="H178" s="232"/>
      <c r="I178" s="232"/>
      <c r="J178" s="232"/>
    </row>
    <row r="179" spans="1:10" ht="15.5">
      <c r="A179" s="231"/>
      <c r="B179" s="232"/>
      <c r="C179" s="232"/>
      <c r="D179" s="232"/>
      <c r="E179" s="234"/>
      <c r="F179" s="234"/>
      <c r="G179" s="235"/>
      <c r="H179" s="232"/>
      <c r="I179" s="232"/>
      <c r="J179" s="232"/>
    </row>
    <row r="180" spans="1:10" ht="15.5">
      <c r="A180" s="236" t="s">
        <v>0</v>
      </c>
      <c r="B180" s="237" t="s">
        <v>458</v>
      </c>
      <c r="C180" s="237" t="s">
        <v>459</v>
      </c>
      <c r="D180" s="237" t="s">
        <v>460</v>
      </c>
      <c r="E180" s="238" t="s">
        <v>461</v>
      </c>
      <c r="F180" s="238" t="s">
        <v>462</v>
      </c>
      <c r="G180" s="239" t="s">
        <v>30</v>
      </c>
      <c r="H180" s="237" t="s">
        <v>463</v>
      </c>
      <c r="I180" s="237" t="s">
        <v>464</v>
      </c>
      <c r="J180" s="240"/>
    </row>
    <row r="181" spans="1:10" ht="15.5">
      <c r="A181" s="268">
        <v>45689</v>
      </c>
      <c r="B181" s="242" t="s">
        <v>600</v>
      </c>
      <c r="C181" s="242"/>
      <c r="D181" s="242"/>
      <c r="E181" s="243"/>
      <c r="F181" s="243"/>
      <c r="G181" s="244">
        <v>24750</v>
      </c>
      <c r="H181" s="242" t="s">
        <v>181</v>
      </c>
      <c r="I181" s="242"/>
      <c r="J181" s="232"/>
    </row>
    <row r="182" spans="1:10" ht="15.5">
      <c r="A182" s="268">
        <v>45693</v>
      </c>
      <c r="B182" s="77" t="s">
        <v>473</v>
      </c>
      <c r="C182" s="77" t="s">
        <v>127</v>
      </c>
      <c r="D182" s="269"/>
      <c r="E182" s="77">
        <v>100000</v>
      </c>
      <c r="F182" s="77"/>
      <c r="G182" s="392">
        <f t="shared" ref="G182:G198" si="6">G181+E182-F182</f>
        <v>124750</v>
      </c>
      <c r="H182" s="375" t="s">
        <v>181</v>
      </c>
      <c r="I182" s="77" t="s">
        <v>839</v>
      </c>
      <c r="J182" s="232"/>
    </row>
    <row r="183" spans="1:10" ht="15.5">
      <c r="A183" s="268">
        <v>45694</v>
      </c>
      <c r="B183" s="77" t="s">
        <v>1064</v>
      </c>
      <c r="C183" s="77" t="s">
        <v>179</v>
      </c>
      <c r="D183" s="269" t="s">
        <v>180</v>
      </c>
      <c r="E183" s="77"/>
      <c r="F183" s="77">
        <v>9000</v>
      </c>
      <c r="G183" s="392">
        <f t="shared" si="6"/>
        <v>115750</v>
      </c>
      <c r="H183" s="375" t="s">
        <v>181</v>
      </c>
      <c r="I183" s="77" t="s">
        <v>840</v>
      </c>
      <c r="J183" s="232"/>
    </row>
    <row r="184" spans="1:10" ht="15.5">
      <c r="A184" s="268">
        <v>45694</v>
      </c>
      <c r="B184" s="376" t="s">
        <v>1008</v>
      </c>
      <c r="C184" s="77" t="s">
        <v>469</v>
      </c>
      <c r="D184" s="269" t="s">
        <v>180</v>
      </c>
      <c r="E184" s="77"/>
      <c r="F184" s="77">
        <v>190000</v>
      </c>
      <c r="G184" s="392">
        <f t="shared" si="6"/>
        <v>-74250</v>
      </c>
      <c r="H184" s="375" t="s">
        <v>181</v>
      </c>
      <c r="I184" s="77" t="s">
        <v>841</v>
      </c>
      <c r="J184" s="232"/>
    </row>
    <row r="185" spans="1:10" ht="15.5">
      <c r="A185" s="268">
        <v>45695</v>
      </c>
      <c r="B185" s="77" t="s">
        <v>473</v>
      </c>
      <c r="C185" s="77" t="s">
        <v>127</v>
      </c>
      <c r="D185" s="269"/>
      <c r="E185" s="77">
        <v>138000</v>
      </c>
      <c r="F185" s="77"/>
      <c r="G185" s="392">
        <f t="shared" si="6"/>
        <v>63750</v>
      </c>
      <c r="H185" s="375" t="s">
        <v>181</v>
      </c>
      <c r="I185" s="77" t="s">
        <v>842</v>
      </c>
      <c r="J185" s="232"/>
    </row>
    <row r="186" spans="1:10" ht="15.5">
      <c r="A186" s="268">
        <v>45698</v>
      </c>
      <c r="B186" s="269" t="s">
        <v>1063</v>
      </c>
      <c r="C186" s="77" t="s">
        <v>469</v>
      </c>
      <c r="D186" s="269" t="s">
        <v>180</v>
      </c>
      <c r="E186" s="77"/>
      <c r="F186" s="77">
        <v>60000</v>
      </c>
      <c r="G186" s="392">
        <f t="shared" si="6"/>
        <v>3750</v>
      </c>
      <c r="H186" s="375" t="s">
        <v>181</v>
      </c>
      <c r="I186" s="77" t="s">
        <v>843</v>
      </c>
      <c r="J186" s="232"/>
    </row>
    <row r="187" spans="1:10" ht="15.5">
      <c r="A187" s="268">
        <v>45698</v>
      </c>
      <c r="B187" s="77" t="s">
        <v>1012</v>
      </c>
      <c r="C187" s="77" t="s">
        <v>179</v>
      </c>
      <c r="D187" s="269" t="s">
        <v>180</v>
      </c>
      <c r="E187" s="77"/>
      <c r="F187" s="77">
        <v>3000</v>
      </c>
      <c r="G187" s="392">
        <f t="shared" si="6"/>
        <v>750</v>
      </c>
      <c r="H187" s="375" t="s">
        <v>181</v>
      </c>
      <c r="I187" s="77" t="s">
        <v>844</v>
      </c>
      <c r="J187" s="232"/>
    </row>
    <row r="188" spans="1:10" ht="15.5">
      <c r="A188" s="268">
        <v>45700</v>
      </c>
      <c r="B188" s="77" t="s">
        <v>845</v>
      </c>
      <c r="C188" s="77" t="s">
        <v>127</v>
      </c>
      <c r="D188" s="269"/>
      <c r="E188" s="77">
        <v>99000</v>
      </c>
      <c r="F188" s="77"/>
      <c r="G188" s="392">
        <f t="shared" si="6"/>
        <v>99750</v>
      </c>
      <c r="H188" s="375" t="s">
        <v>181</v>
      </c>
      <c r="I188" s="77" t="s">
        <v>846</v>
      </c>
      <c r="J188" s="232"/>
    </row>
    <row r="189" spans="1:10" ht="15.5">
      <c r="A189" s="268">
        <v>45702</v>
      </c>
      <c r="B189" s="77" t="s">
        <v>473</v>
      </c>
      <c r="C189" s="77" t="s">
        <v>127</v>
      </c>
      <c r="D189" s="269"/>
      <c r="E189" s="77">
        <v>84000</v>
      </c>
      <c r="F189" s="77"/>
      <c r="G189" s="392">
        <f t="shared" si="6"/>
        <v>183750</v>
      </c>
      <c r="H189" s="375" t="s">
        <v>181</v>
      </c>
      <c r="I189" s="77" t="s">
        <v>847</v>
      </c>
      <c r="J189" s="232"/>
    </row>
    <row r="190" spans="1:10" ht="15.5">
      <c r="A190" s="268">
        <v>45707</v>
      </c>
      <c r="B190" s="390" t="s">
        <v>473</v>
      </c>
      <c r="C190" s="390" t="s">
        <v>127</v>
      </c>
      <c r="D190" s="269"/>
      <c r="E190" s="390">
        <v>300000</v>
      </c>
      <c r="F190" s="77"/>
      <c r="G190" s="392">
        <f t="shared" si="6"/>
        <v>483750</v>
      </c>
      <c r="H190" s="375" t="s">
        <v>181</v>
      </c>
      <c r="I190" s="77" t="s">
        <v>848</v>
      </c>
      <c r="J190" s="232"/>
    </row>
    <row r="191" spans="1:10" ht="15.5">
      <c r="A191" s="268">
        <v>45707</v>
      </c>
      <c r="B191" s="390" t="s">
        <v>473</v>
      </c>
      <c r="C191" s="390" t="s">
        <v>127</v>
      </c>
      <c r="D191" s="269"/>
      <c r="E191" s="390">
        <v>75000</v>
      </c>
      <c r="F191" s="77"/>
      <c r="G191" s="392">
        <f t="shared" si="6"/>
        <v>558750</v>
      </c>
      <c r="H191" s="375" t="s">
        <v>181</v>
      </c>
      <c r="I191" s="77" t="s">
        <v>849</v>
      </c>
      <c r="J191" s="232"/>
    </row>
    <row r="192" spans="1:10" ht="15.5">
      <c r="A192" s="268">
        <v>45709</v>
      </c>
      <c r="B192" s="390" t="s">
        <v>473</v>
      </c>
      <c r="C192" s="390" t="s">
        <v>127</v>
      </c>
      <c r="D192" s="269"/>
      <c r="E192" s="390">
        <v>99000</v>
      </c>
      <c r="F192" s="77"/>
      <c r="G192" s="392">
        <f t="shared" si="6"/>
        <v>657750</v>
      </c>
      <c r="H192" s="375" t="s">
        <v>181</v>
      </c>
      <c r="I192" s="77" t="s">
        <v>850</v>
      </c>
      <c r="J192" s="232"/>
    </row>
    <row r="193" spans="1:10" ht="15.5">
      <c r="A193" s="268">
        <v>45710</v>
      </c>
      <c r="B193" s="269" t="s">
        <v>1010</v>
      </c>
      <c r="C193" s="77" t="s">
        <v>469</v>
      </c>
      <c r="D193" s="269" t="s">
        <v>180</v>
      </c>
      <c r="E193" s="77"/>
      <c r="F193" s="77">
        <v>180000</v>
      </c>
      <c r="G193" s="392">
        <f t="shared" si="6"/>
        <v>477750</v>
      </c>
      <c r="H193" s="375" t="s">
        <v>181</v>
      </c>
      <c r="I193" s="77" t="s">
        <v>851</v>
      </c>
      <c r="J193" s="232"/>
    </row>
    <row r="194" spans="1:10" ht="15.5">
      <c r="A194" s="268">
        <v>45711</v>
      </c>
      <c r="B194" s="77" t="s">
        <v>852</v>
      </c>
      <c r="C194" s="77" t="s">
        <v>379</v>
      </c>
      <c r="D194" s="269" t="s">
        <v>180</v>
      </c>
      <c r="E194" s="77"/>
      <c r="F194" s="77">
        <v>68000</v>
      </c>
      <c r="G194" s="392">
        <f t="shared" si="6"/>
        <v>409750</v>
      </c>
      <c r="H194" s="375" t="s">
        <v>181</v>
      </c>
      <c r="I194" s="77" t="s">
        <v>853</v>
      </c>
      <c r="J194" s="232"/>
    </row>
    <row r="195" spans="1:10" ht="15.5">
      <c r="A195" s="268">
        <v>45712</v>
      </c>
      <c r="B195" s="77" t="s">
        <v>854</v>
      </c>
      <c r="C195" s="77" t="s">
        <v>127</v>
      </c>
      <c r="D195" s="269"/>
      <c r="E195" s="77"/>
      <c r="F195" s="77">
        <v>150000</v>
      </c>
      <c r="G195" s="392">
        <f t="shared" si="6"/>
        <v>259750</v>
      </c>
      <c r="H195" s="375" t="s">
        <v>181</v>
      </c>
      <c r="I195" s="77" t="s">
        <v>855</v>
      </c>
      <c r="J195" s="232"/>
    </row>
    <row r="196" spans="1:10" ht="15.5">
      <c r="A196" s="268">
        <v>45716</v>
      </c>
      <c r="B196" s="269" t="s">
        <v>1011</v>
      </c>
      <c r="C196" s="77" t="s">
        <v>469</v>
      </c>
      <c r="D196" s="269" t="s">
        <v>180</v>
      </c>
      <c r="E196" s="77"/>
      <c r="F196" s="77">
        <v>60000</v>
      </c>
      <c r="G196" s="392">
        <f t="shared" si="6"/>
        <v>199750</v>
      </c>
      <c r="H196" s="375" t="s">
        <v>181</v>
      </c>
      <c r="I196" s="77" t="s">
        <v>856</v>
      </c>
      <c r="J196" s="232"/>
    </row>
    <row r="197" spans="1:10" ht="15.5">
      <c r="A197" s="268">
        <v>45716</v>
      </c>
      <c r="B197" s="77" t="s">
        <v>1012</v>
      </c>
      <c r="C197" s="77" t="s">
        <v>179</v>
      </c>
      <c r="D197" s="269" t="s">
        <v>180</v>
      </c>
      <c r="E197" s="77"/>
      <c r="F197" s="77">
        <v>6000</v>
      </c>
      <c r="G197" s="392">
        <f t="shared" si="6"/>
        <v>193750</v>
      </c>
      <c r="H197" s="375" t="s">
        <v>181</v>
      </c>
      <c r="I197" s="77" t="s">
        <v>857</v>
      </c>
      <c r="J197" s="232"/>
    </row>
    <row r="198" spans="1:10" ht="15.5">
      <c r="A198" s="268">
        <v>45716</v>
      </c>
      <c r="B198" t="s">
        <v>858</v>
      </c>
      <c r="C198" s="77" t="s">
        <v>179</v>
      </c>
      <c r="D198" s="269" t="s">
        <v>180</v>
      </c>
      <c r="E198" s="77"/>
      <c r="F198" s="77">
        <v>53700</v>
      </c>
      <c r="G198" s="392">
        <f t="shared" si="6"/>
        <v>140050</v>
      </c>
      <c r="H198" s="375" t="s">
        <v>181</v>
      </c>
      <c r="I198" s="77" t="s">
        <v>859</v>
      </c>
      <c r="J198" s="232"/>
    </row>
    <row r="199" spans="1:10" ht="15.5">
      <c r="A199" s="270"/>
      <c r="B199" s="232"/>
      <c r="C199" s="232"/>
      <c r="D199" s="232"/>
      <c r="E199" s="297">
        <f>SUM(E182:E198)</f>
        <v>895000</v>
      </c>
      <c r="F199" s="297">
        <f>SUM(F182:F198)</f>
        <v>779700</v>
      </c>
      <c r="G199" s="271">
        <f>+E199-F199+G181</f>
        <v>140050</v>
      </c>
      <c r="H199" s="232"/>
      <c r="I199" s="232"/>
      <c r="J199" s="232"/>
    </row>
    <row r="200" spans="1:10" ht="15.5">
      <c r="A200" s="270"/>
      <c r="B200" s="232"/>
      <c r="C200" s="232"/>
      <c r="D200" s="232"/>
      <c r="E200" s="297"/>
      <c r="F200" s="297"/>
      <c r="G200" s="271"/>
      <c r="H200" s="232"/>
      <c r="I200" s="232"/>
      <c r="J200" s="232"/>
    </row>
    <row r="201" spans="1:10" ht="15.5">
      <c r="A201" s="231"/>
      <c r="B201" s="232"/>
      <c r="C201" s="233" t="s">
        <v>1074</v>
      </c>
      <c r="D201" s="232"/>
      <c r="E201" s="234"/>
      <c r="F201" s="234"/>
      <c r="G201" s="235"/>
      <c r="H201" s="232"/>
      <c r="I201" s="232"/>
      <c r="J201" s="232"/>
    </row>
    <row r="202" spans="1:10" ht="15.5">
      <c r="A202" s="231"/>
      <c r="B202" s="232"/>
      <c r="C202" s="232"/>
      <c r="D202" s="232"/>
      <c r="E202" s="234"/>
      <c r="F202" s="234"/>
      <c r="G202" s="235"/>
      <c r="H202" s="232"/>
      <c r="I202" s="232"/>
      <c r="J202" s="232"/>
    </row>
    <row r="203" spans="1:10" ht="15.5">
      <c r="A203" s="236" t="s">
        <v>0</v>
      </c>
      <c r="B203" s="237" t="s">
        <v>458</v>
      </c>
      <c r="C203" s="237" t="s">
        <v>460</v>
      </c>
      <c r="D203" s="237" t="s">
        <v>459</v>
      </c>
      <c r="E203" s="238" t="s">
        <v>461</v>
      </c>
      <c r="F203" s="238" t="s">
        <v>462</v>
      </c>
      <c r="G203" s="239" t="s">
        <v>30</v>
      </c>
      <c r="H203" s="237" t="s">
        <v>463</v>
      </c>
      <c r="I203" s="237" t="s">
        <v>464</v>
      </c>
      <c r="J203" s="232"/>
    </row>
    <row r="204" spans="1:10" ht="15.5">
      <c r="A204" s="268">
        <v>45689</v>
      </c>
      <c r="B204" s="242" t="s">
        <v>600</v>
      </c>
      <c r="C204" s="242"/>
      <c r="D204" s="242"/>
      <c r="E204" s="243"/>
      <c r="F204" s="243"/>
      <c r="G204" s="244">
        <v>4400</v>
      </c>
      <c r="H204" s="242" t="s">
        <v>327</v>
      </c>
      <c r="I204" s="242"/>
      <c r="J204" s="232"/>
    </row>
    <row r="205" spans="1:10" ht="15.5">
      <c r="A205" s="378">
        <v>45692</v>
      </c>
      <c r="B205" s="379" t="s">
        <v>935</v>
      </c>
      <c r="C205" s="379" t="s">
        <v>124</v>
      </c>
      <c r="D205" s="379" t="s">
        <v>127</v>
      </c>
      <c r="E205">
        <v>40000</v>
      </c>
      <c r="F205"/>
      <c r="G205" s="380">
        <f>G204+E205-F205</f>
        <v>44400</v>
      </c>
      <c r="H205" s="379" t="s">
        <v>327</v>
      </c>
      <c r="I205" t="s">
        <v>936</v>
      </c>
      <c r="J205" s="232"/>
    </row>
    <row r="206" spans="1:10" ht="15.5">
      <c r="A206" s="260">
        <v>45693</v>
      </c>
      <c r="B206" s="259" t="s">
        <v>983</v>
      </c>
      <c r="C206" s="259" t="s">
        <v>124</v>
      </c>
      <c r="D206" s="259" t="s">
        <v>183</v>
      </c>
      <c r="E206" s="77"/>
      <c r="F206" s="259">
        <v>70000</v>
      </c>
      <c r="G206" s="380">
        <f t="shared" ref="G206:G234" si="7">G205+E206-F206</f>
        <v>-25600</v>
      </c>
      <c r="H206" s="259" t="s">
        <v>327</v>
      </c>
      <c r="I206" s="77" t="s">
        <v>937</v>
      </c>
      <c r="J206" s="232"/>
    </row>
    <row r="207" spans="1:10" ht="15.5">
      <c r="A207" s="260">
        <v>45693</v>
      </c>
      <c r="B207" s="259" t="s">
        <v>989</v>
      </c>
      <c r="C207" s="259" t="s">
        <v>124</v>
      </c>
      <c r="D207" s="259" t="s">
        <v>179</v>
      </c>
      <c r="E207" s="77"/>
      <c r="F207" s="259">
        <v>9000</v>
      </c>
      <c r="G207" s="380">
        <f t="shared" si="7"/>
        <v>-34600</v>
      </c>
      <c r="H207" s="259" t="s">
        <v>327</v>
      </c>
      <c r="I207" s="77" t="s">
        <v>938</v>
      </c>
      <c r="J207" s="232"/>
    </row>
    <row r="208" spans="1:10" ht="15.5">
      <c r="A208" s="260">
        <v>45693</v>
      </c>
      <c r="B208" s="259" t="s">
        <v>989</v>
      </c>
      <c r="C208" s="259" t="s">
        <v>124</v>
      </c>
      <c r="D208" s="259" t="s">
        <v>179</v>
      </c>
      <c r="E208" s="77"/>
      <c r="F208" s="259">
        <v>5000</v>
      </c>
      <c r="G208" s="380">
        <f t="shared" si="7"/>
        <v>-39600</v>
      </c>
      <c r="H208" s="259" t="s">
        <v>327</v>
      </c>
      <c r="I208" s="77" t="s">
        <v>938</v>
      </c>
      <c r="J208" s="232"/>
    </row>
    <row r="209" spans="1:10" ht="15.5">
      <c r="A209" s="378">
        <v>45695</v>
      </c>
      <c r="B209" s="379" t="s">
        <v>935</v>
      </c>
      <c r="C209" s="379" t="s">
        <v>124</v>
      </c>
      <c r="D209" s="379" t="s">
        <v>127</v>
      </c>
      <c r="E209">
        <v>198000</v>
      </c>
      <c r="F209" s="379"/>
      <c r="G209" s="380">
        <f t="shared" si="7"/>
        <v>158400</v>
      </c>
      <c r="H209" s="379" t="s">
        <v>327</v>
      </c>
      <c r="I209" t="s">
        <v>939</v>
      </c>
      <c r="J209" s="232"/>
    </row>
    <row r="210" spans="1:10" ht="15.5">
      <c r="A210" s="260">
        <v>45695</v>
      </c>
      <c r="B210" s="259" t="s">
        <v>1062</v>
      </c>
      <c r="C210" s="259" t="s">
        <v>124</v>
      </c>
      <c r="D210" s="259" t="s">
        <v>183</v>
      </c>
      <c r="E210" s="77"/>
      <c r="F210" s="259">
        <v>30000</v>
      </c>
      <c r="G210" s="380">
        <f t="shared" si="7"/>
        <v>128400</v>
      </c>
      <c r="H210" s="259" t="s">
        <v>327</v>
      </c>
      <c r="I210" s="77" t="s">
        <v>938</v>
      </c>
      <c r="J210" s="232"/>
    </row>
    <row r="211" spans="1:10" ht="15.5">
      <c r="A211" s="260">
        <v>45695</v>
      </c>
      <c r="B211" s="259" t="s">
        <v>989</v>
      </c>
      <c r="C211" s="259" t="s">
        <v>124</v>
      </c>
      <c r="D211" s="259" t="s">
        <v>179</v>
      </c>
      <c r="E211" s="77"/>
      <c r="F211" s="259">
        <v>5000</v>
      </c>
      <c r="G211" s="380">
        <f t="shared" si="7"/>
        <v>123400</v>
      </c>
      <c r="H211" s="259" t="s">
        <v>327</v>
      </c>
      <c r="I211" s="77" t="s">
        <v>940</v>
      </c>
      <c r="J211" s="232"/>
    </row>
    <row r="212" spans="1:10" ht="15.5">
      <c r="A212" s="260">
        <v>45695</v>
      </c>
      <c r="B212" s="259" t="s">
        <v>989</v>
      </c>
      <c r="C212" s="259" t="s">
        <v>124</v>
      </c>
      <c r="D212" s="259" t="s">
        <v>179</v>
      </c>
      <c r="E212" s="77"/>
      <c r="F212" s="259">
        <v>4500</v>
      </c>
      <c r="G212" s="380">
        <f t="shared" si="7"/>
        <v>118900</v>
      </c>
      <c r="H212" s="259" t="s">
        <v>327</v>
      </c>
      <c r="I212" s="77" t="s">
        <v>941</v>
      </c>
      <c r="J212" s="232"/>
    </row>
    <row r="213" spans="1:10" ht="15.5">
      <c r="A213" s="260">
        <v>45697</v>
      </c>
      <c r="B213" s="259" t="s">
        <v>997</v>
      </c>
      <c r="C213" s="259" t="s">
        <v>124</v>
      </c>
      <c r="D213" s="259" t="s">
        <v>183</v>
      </c>
      <c r="E213" s="77"/>
      <c r="F213" s="259">
        <v>30000</v>
      </c>
      <c r="G213" s="380">
        <f t="shared" si="7"/>
        <v>88900</v>
      </c>
      <c r="H213" s="259" t="s">
        <v>327</v>
      </c>
      <c r="I213" s="77" t="s">
        <v>942</v>
      </c>
      <c r="J213" s="232"/>
    </row>
    <row r="214" spans="1:10" ht="15.5">
      <c r="A214" s="260">
        <v>45697</v>
      </c>
      <c r="B214" s="259" t="s">
        <v>943</v>
      </c>
      <c r="C214" s="259" t="s">
        <v>124</v>
      </c>
      <c r="D214" s="259" t="s">
        <v>179</v>
      </c>
      <c r="E214" s="77"/>
      <c r="F214" s="259">
        <v>3000</v>
      </c>
      <c r="G214" s="380">
        <f t="shared" si="7"/>
        <v>85900</v>
      </c>
      <c r="H214" s="259" t="s">
        <v>327</v>
      </c>
      <c r="I214" s="77" t="s">
        <v>944</v>
      </c>
      <c r="J214" s="232"/>
    </row>
    <row r="215" spans="1:10" ht="15.5">
      <c r="A215" s="260">
        <v>45700</v>
      </c>
      <c r="B215" s="259" t="s">
        <v>996</v>
      </c>
      <c r="C215" s="259" t="s">
        <v>124</v>
      </c>
      <c r="D215" s="259" t="s">
        <v>183</v>
      </c>
      <c r="E215" s="77"/>
      <c r="F215" s="259">
        <v>45000</v>
      </c>
      <c r="G215" s="380">
        <f t="shared" si="7"/>
        <v>40900</v>
      </c>
      <c r="H215" s="259" t="s">
        <v>327</v>
      </c>
      <c r="I215" s="77" t="s">
        <v>945</v>
      </c>
      <c r="J215" s="232"/>
    </row>
    <row r="216" spans="1:10" ht="15.5">
      <c r="A216" s="260">
        <v>45700</v>
      </c>
      <c r="B216" s="259" t="s">
        <v>989</v>
      </c>
      <c r="C216" s="259" t="s">
        <v>124</v>
      </c>
      <c r="D216" s="259" t="s">
        <v>179</v>
      </c>
      <c r="E216" s="77"/>
      <c r="F216" s="259">
        <v>7000</v>
      </c>
      <c r="G216" s="380">
        <f t="shared" si="7"/>
        <v>33900</v>
      </c>
      <c r="H216" s="259" t="s">
        <v>327</v>
      </c>
      <c r="I216" s="77" t="s">
        <v>945</v>
      </c>
      <c r="J216" s="232"/>
    </row>
    <row r="217" spans="1:10" ht="15.5">
      <c r="A217" s="378">
        <v>45702</v>
      </c>
      <c r="B217" s="379" t="s">
        <v>935</v>
      </c>
      <c r="C217" s="379" t="s">
        <v>124</v>
      </c>
      <c r="D217" s="379" t="s">
        <v>127</v>
      </c>
      <c r="E217">
        <v>230000</v>
      </c>
      <c r="F217"/>
      <c r="G217" s="380">
        <f t="shared" si="7"/>
        <v>263900</v>
      </c>
      <c r="H217" s="379" t="s">
        <v>327</v>
      </c>
      <c r="I217" t="s">
        <v>946</v>
      </c>
      <c r="J217" s="232"/>
    </row>
    <row r="218" spans="1:10" ht="15.5">
      <c r="A218" s="260">
        <v>45703</v>
      </c>
      <c r="B218" s="259" t="s">
        <v>990</v>
      </c>
      <c r="C218" s="259" t="s">
        <v>124</v>
      </c>
      <c r="D218" s="259" t="s">
        <v>183</v>
      </c>
      <c r="E218" s="77"/>
      <c r="F218" s="259">
        <v>70000</v>
      </c>
      <c r="G218" s="380">
        <f t="shared" si="7"/>
        <v>193900</v>
      </c>
      <c r="H218" s="259" t="s">
        <v>327</v>
      </c>
      <c r="I218" s="77" t="s">
        <v>947</v>
      </c>
      <c r="J218" s="232"/>
    </row>
    <row r="219" spans="1:10" ht="15.5">
      <c r="A219" s="260">
        <v>45703</v>
      </c>
      <c r="B219" s="259" t="s">
        <v>989</v>
      </c>
      <c r="C219" s="259" t="s">
        <v>124</v>
      </c>
      <c r="D219" s="259" t="s">
        <v>179</v>
      </c>
      <c r="E219" s="77"/>
      <c r="F219" s="259">
        <v>7000</v>
      </c>
      <c r="G219" s="380">
        <f t="shared" si="7"/>
        <v>186900</v>
      </c>
      <c r="H219" s="259" t="s">
        <v>327</v>
      </c>
      <c r="I219" s="77" t="s">
        <v>948</v>
      </c>
      <c r="J219" s="232"/>
    </row>
    <row r="220" spans="1:10" ht="15.5">
      <c r="A220" s="260">
        <v>45706</v>
      </c>
      <c r="B220" s="259" t="s">
        <v>1061</v>
      </c>
      <c r="C220" s="259" t="s">
        <v>124</v>
      </c>
      <c r="D220" s="259" t="s">
        <v>183</v>
      </c>
      <c r="E220" s="77"/>
      <c r="F220" s="259">
        <v>45000</v>
      </c>
      <c r="G220" s="380">
        <f t="shared" si="7"/>
        <v>141900</v>
      </c>
      <c r="H220" s="259" t="s">
        <v>327</v>
      </c>
      <c r="I220" s="77" t="s">
        <v>949</v>
      </c>
      <c r="J220" s="232"/>
    </row>
    <row r="221" spans="1:10" ht="15.5">
      <c r="A221" s="260">
        <v>45706</v>
      </c>
      <c r="B221" s="259" t="s">
        <v>989</v>
      </c>
      <c r="C221" s="259" t="s">
        <v>124</v>
      </c>
      <c r="D221" s="259" t="s">
        <v>179</v>
      </c>
      <c r="E221" s="77"/>
      <c r="F221" s="259">
        <v>4000</v>
      </c>
      <c r="G221" s="380">
        <f t="shared" si="7"/>
        <v>137900</v>
      </c>
      <c r="H221" s="259" t="s">
        <v>327</v>
      </c>
      <c r="I221" s="77" t="s">
        <v>950</v>
      </c>
      <c r="J221" s="232"/>
    </row>
    <row r="222" spans="1:10" ht="15.5">
      <c r="A222" s="260">
        <v>45708</v>
      </c>
      <c r="B222" s="259" t="s">
        <v>1060</v>
      </c>
      <c r="C222" s="259" t="s">
        <v>124</v>
      </c>
      <c r="D222" s="259" t="s">
        <v>183</v>
      </c>
      <c r="E222" s="77"/>
      <c r="F222" s="259">
        <v>30000</v>
      </c>
      <c r="G222" s="380">
        <f t="shared" si="7"/>
        <v>107900</v>
      </c>
      <c r="H222" s="259" t="s">
        <v>327</v>
      </c>
      <c r="I222" s="77" t="s">
        <v>951</v>
      </c>
      <c r="J222" s="232"/>
    </row>
    <row r="223" spans="1:10" ht="15.5">
      <c r="A223" s="260">
        <v>45708</v>
      </c>
      <c r="B223" s="259" t="s">
        <v>989</v>
      </c>
      <c r="C223" s="259" t="s">
        <v>124</v>
      </c>
      <c r="D223" s="259" t="s">
        <v>179</v>
      </c>
      <c r="E223" s="77"/>
      <c r="F223" s="259">
        <v>4000</v>
      </c>
      <c r="G223" s="380">
        <f t="shared" si="7"/>
        <v>103900</v>
      </c>
      <c r="H223" s="259" t="s">
        <v>327</v>
      </c>
      <c r="I223" s="77" t="s">
        <v>952</v>
      </c>
      <c r="J223" s="232"/>
    </row>
    <row r="224" spans="1:10" ht="15.5">
      <c r="A224" s="260">
        <v>45710</v>
      </c>
      <c r="B224" s="259" t="s">
        <v>1059</v>
      </c>
      <c r="C224" s="259" t="s">
        <v>124</v>
      </c>
      <c r="D224" s="259" t="s">
        <v>183</v>
      </c>
      <c r="E224" s="77"/>
      <c r="F224" s="259">
        <v>30000</v>
      </c>
      <c r="G224" s="380">
        <f t="shared" si="7"/>
        <v>73900</v>
      </c>
      <c r="H224" s="259" t="s">
        <v>327</v>
      </c>
      <c r="I224" s="77" t="s">
        <v>953</v>
      </c>
      <c r="J224" s="232"/>
    </row>
    <row r="225" spans="1:10" ht="15.5">
      <c r="A225" s="260">
        <v>45710</v>
      </c>
      <c r="B225" s="259" t="s">
        <v>989</v>
      </c>
      <c r="C225" s="259" t="s">
        <v>124</v>
      </c>
      <c r="D225" s="259" t="s">
        <v>179</v>
      </c>
      <c r="E225" s="77"/>
      <c r="F225" s="259">
        <v>7000</v>
      </c>
      <c r="G225" s="380">
        <f t="shared" si="7"/>
        <v>66900</v>
      </c>
      <c r="H225" s="259" t="s">
        <v>327</v>
      </c>
      <c r="I225" s="77" t="s">
        <v>954</v>
      </c>
      <c r="J225" s="232"/>
    </row>
    <row r="226" spans="1:10" ht="15.5">
      <c r="A226" s="378">
        <v>45713</v>
      </c>
      <c r="B226" s="379" t="s">
        <v>935</v>
      </c>
      <c r="C226" s="379" t="s">
        <v>124</v>
      </c>
      <c r="D226" s="379" t="s">
        <v>127</v>
      </c>
      <c r="E226">
        <v>20000</v>
      </c>
      <c r="F226"/>
      <c r="G226" s="380">
        <f t="shared" si="7"/>
        <v>86900</v>
      </c>
      <c r="H226" s="379" t="s">
        <v>327</v>
      </c>
      <c r="I226" t="s">
        <v>955</v>
      </c>
      <c r="J226" s="232"/>
    </row>
    <row r="227" spans="1:10" ht="15.5">
      <c r="A227" s="378">
        <v>45713</v>
      </c>
      <c r="B227" s="379" t="s">
        <v>935</v>
      </c>
      <c r="C227" s="379" t="s">
        <v>124</v>
      </c>
      <c r="D227" s="379" t="s">
        <v>127</v>
      </c>
      <c r="E227">
        <v>52000</v>
      </c>
      <c r="F227"/>
      <c r="G227" s="380">
        <f t="shared" si="7"/>
        <v>138900</v>
      </c>
      <c r="H227" s="379" t="s">
        <v>327</v>
      </c>
      <c r="I227" t="s">
        <v>956</v>
      </c>
      <c r="J227" s="232"/>
    </row>
    <row r="228" spans="1:10" ht="15.5">
      <c r="A228" s="260">
        <v>45713</v>
      </c>
      <c r="B228" s="259" t="s">
        <v>989</v>
      </c>
      <c r="C228" s="259" t="s">
        <v>124</v>
      </c>
      <c r="D228" s="259" t="s">
        <v>179</v>
      </c>
      <c r="E228" s="77"/>
      <c r="F228" s="259">
        <v>7000</v>
      </c>
      <c r="G228" s="380">
        <f t="shared" si="7"/>
        <v>131900</v>
      </c>
      <c r="H228" s="259" t="s">
        <v>327</v>
      </c>
      <c r="I228" s="77" t="s">
        <v>957</v>
      </c>
      <c r="J228" s="232"/>
    </row>
    <row r="229" spans="1:10" ht="15.5">
      <c r="A229" s="260">
        <v>45714</v>
      </c>
      <c r="B229" s="259" t="s">
        <v>994</v>
      </c>
      <c r="C229" s="259" t="s">
        <v>124</v>
      </c>
      <c r="D229" s="259" t="s">
        <v>183</v>
      </c>
      <c r="E229" s="77"/>
      <c r="F229" s="259">
        <v>20000</v>
      </c>
      <c r="G229" s="380">
        <f t="shared" si="7"/>
        <v>111900</v>
      </c>
      <c r="H229" s="259" t="s">
        <v>327</v>
      </c>
      <c r="I229" s="77" t="s">
        <v>958</v>
      </c>
      <c r="J229" s="232"/>
    </row>
    <row r="230" spans="1:10" ht="15.5">
      <c r="A230" s="378">
        <v>45715</v>
      </c>
      <c r="B230" s="379" t="s">
        <v>935</v>
      </c>
      <c r="C230" s="379" t="s">
        <v>124</v>
      </c>
      <c r="D230" s="379" t="s">
        <v>127</v>
      </c>
      <c r="E230">
        <v>28000</v>
      </c>
      <c r="F230" s="379"/>
      <c r="G230" s="380">
        <f t="shared" si="7"/>
        <v>139900</v>
      </c>
      <c r="H230" s="379" t="s">
        <v>327</v>
      </c>
      <c r="I230" t="s">
        <v>959</v>
      </c>
      <c r="J230" s="232"/>
    </row>
    <row r="231" spans="1:10" ht="15.5">
      <c r="A231" s="260">
        <v>45715</v>
      </c>
      <c r="B231" s="381" t="s">
        <v>960</v>
      </c>
      <c r="C231" s="259" t="s">
        <v>124</v>
      </c>
      <c r="D231" s="259" t="s">
        <v>376</v>
      </c>
      <c r="E231" s="77"/>
      <c r="F231" s="259">
        <v>29000</v>
      </c>
      <c r="G231" s="380">
        <f t="shared" si="7"/>
        <v>110900</v>
      </c>
      <c r="H231" s="259" t="s">
        <v>327</v>
      </c>
      <c r="I231" s="77" t="s">
        <v>961</v>
      </c>
      <c r="J231" s="232"/>
    </row>
    <row r="232" spans="1:10" ht="15.5">
      <c r="A232" s="260">
        <v>45716</v>
      </c>
      <c r="B232" s="259" t="s">
        <v>1058</v>
      </c>
      <c r="C232" s="259" t="s">
        <v>124</v>
      </c>
      <c r="D232" s="259" t="s">
        <v>183</v>
      </c>
      <c r="E232" s="77"/>
      <c r="F232" s="259">
        <v>30000</v>
      </c>
      <c r="G232" s="380">
        <f t="shared" si="7"/>
        <v>80900</v>
      </c>
      <c r="H232" s="259" t="s">
        <v>327</v>
      </c>
      <c r="I232" s="77" t="s">
        <v>962</v>
      </c>
      <c r="J232" s="232"/>
    </row>
    <row r="233" spans="1:10" ht="15.5">
      <c r="A233" s="260">
        <v>45716</v>
      </c>
      <c r="B233" s="259" t="s">
        <v>989</v>
      </c>
      <c r="C233" s="259" t="s">
        <v>124</v>
      </c>
      <c r="D233" s="259" t="s">
        <v>179</v>
      </c>
      <c r="E233" s="77"/>
      <c r="F233" s="259">
        <v>7000</v>
      </c>
      <c r="G233" s="380">
        <f t="shared" si="7"/>
        <v>73900</v>
      </c>
      <c r="H233" s="259" t="s">
        <v>327</v>
      </c>
      <c r="I233" s="77" t="s">
        <v>963</v>
      </c>
      <c r="J233" s="232"/>
    </row>
    <row r="234" spans="1:10" ht="15.5">
      <c r="A234" s="260">
        <v>45716</v>
      </c>
      <c r="B234" s="381" t="s">
        <v>964</v>
      </c>
      <c r="C234" s="259" t="s">
        <v>124</v>
      </c>
      <c r="D234" s="259" t="s">
        <v>179</v>
      </c>
      <c r="E234" s="77"/>
      <c r="F234" s="259">
        <v>66500</v>
      </c>
      <c r="G234" s="380">
        <f t="shared" si="7"/>
        <v>7400</v>
      </c>
      <c r="H234" s="259" t="s">
        <v>327</v>
      </c>
      <c r="I234" s="77" t="s">
        <v>965</v>
      </c>
      <c r="J234" s="232"/>
    </row>
    <row r="235" spans="1:10" ht="15.5">
      <c r="A235" s="270"/>
      <c r="B235" s="232"/>
      <c r="C235" s="232"/>
      <c r="D235" s="232"/>
      <c r="E235" s="297">
        <f>SUM(E204:E234)</f>
        <v>568000</v>
      </c>
      <c r="F235" s="297">
        <f>SUM(F204:F234)</f>
        <v>565000</v>
      </c>
      <c r="G235" s="271">
        <f>+E235-F235+G204</f>
        <v>7400</v>
      </c>
      <c r="H235" s="232"/>
      <c r="I235" s="232"/>
      <c r="J235" s="232"/>
    </row>
    <row r="236" spans="1:10" ht="15.5">
      <c r="A236" s="270"/>
      <c r="B236" s="232"/>
      <c r="C236" s="232"/>
      <c r="D236" s="232"/>
      <c r="E236" s="297"/>
      <c r="F236" s="297"/>
      <c r="G236" s="271"/>
      <c r="H236" s="232"/>
      <c r="I236" s="232"/>
      <c r="J236" s="232"/>
    </row>
    <row r="237" spans="1:10" ht="15.5">
      <c r="A237" s="231"/>
      <c r="B237" s="232"/>
      <c r="C237" s="233" t="s">
        <v>474</v>
      </c>
      <c r="D237" s="232"/>
      <c r="E237" s="234"/>
      <c r="F237" s="234"/>
      <c r="G237" s="235"/>
      <c r="H237" s="232"/>
      <c r="I237" s="232"/>
      <c r="J237" s="232"/>
    </row>
    <row r="238" spans="1:10" ht="15.5">
      <c r="A238" s="231"/>
      <c r="B238" s="232"/>
      <c r="C238" s="232"/>
      <c r="D238" s="232"/>
      <c r="E238" s="234"/>
      <c r="F238" s="234"/>
      <c r="G238" s="235"/>
      <c r="H238" s="232"/>
      <c r="I238" s="232"/>
      <c r="J238" s="232"/>
    </row>
    <row r="239" spans="1:10" ht="15.5">
      <c r="A239" s="236" t="s">
        <v>0</v>
      </c>
      <c r="B239" s="237" t="s">
        <v>458</v>
      </c>
      <c r="C239" s="237" t="s">
        <v>460</v>
      </c>
      <c r="D239" s="237" t="s">
        <v>459</v>
      </c>
      <c r="E239" s="238" t="s">
        <v>461</v>
      </c>
      <c r="F239" s="238" t="s">
        <v>462</v>
      </c>
      <c r="G239" s="239" t="s">
        <v>30</v>
      </c>
      <c r="H239" s="237" t="s">
        <v>463</v>
      </c>
      <c r="I239" s="237" t="s">
        <v>464</v>
      </c>
      <c r="J239" s="240"/>
    </row>
    <row r="240" spans="1:10" ht="15.5">
      <c r="A240" s="268">
        <v>45689</v>
      </c>
      <c r="B240" s="242" t="s">
        <v>600</v>
      </c>
      <c r="C240" s="242"/>
      <c r="D240" s="242"/>
      <c r="E240" s="243"/>
      <c r="F240" s="243"/>
      <c r="G240" s="272">
        <v>30150</v>
      </c>
      <c r="H240" s="242" t="s">
        <v>333</v>
      </c>
      <c r="I240" s="242"/>
      <c r="J240" s="232"/>
    </row>
    <row r="241" spans="1:10" ht="15.5">
      <c r="A241" s="268">
        <v>45695</v>
      </c>
      <c r="B241" s="77" t="s">
        <v>475</v>
      </c>
      <c r="C241" s="77" t="s">
        <v>124</v>
      </c>
      <c r="D241" s="77" t="s">
        <v>127</v>
      </c>
      <c r="E241" s="258">
        <v>100000</v>
      </c>
      <c r="F241" s="258"/>
      <c r="G241" s="387">
        <f t="shared" ref="G241:G254" si="8">+G240+E241-F241</f>
        <v>130150</v>
      </c>
      <c r="H241" s="77" t="s">
        <v>333</v>
      </c>
      <c r="I241" s="77" t="s">
        <v>860</v>
      </c>
      <c r="J241" s="232"/>
    </row>
    <row r="242" spans="1:10" ht="15.5">
      <c r="A242" s="268">
        <v>45695</v>
      </c>
      <c r="B242" s="77" t="s">
        <v>1057</v>
      </c>
      <c r="C242" s="77" t="s">
        <v>124</v>
      </c>
      <c r="D242" s="77" t="s">
        <v>179</v>
      </c>
      <c r="E242" s="258"/>
      <c r="F242" s="258">
        <v>8000</v>
      </c>
      <c r="G242" s="387">
        <f t="shared" si="8"/>
        <v>122150</v>
      </c>
      <c r="H242" s="77" t="s">
        <v>333</v>
      </c>
      <c r="I242" s="77" t="s">
        <v>861</v>
      </c>
      <c r="J242" s="232"/>
    </row>
    <row r="243" spans="1:10" ht="15.5">
      <c r="A243" s="268">
        <v>45696</v>
      </c>
      <c r="B243" s="77" t="s">
        <v>862</v>
      </c>
      <c r="C243" s="77" t="s">
        <v>124</v>
      </c>
      <c r="D243" s="77" t="s">
        <v>469</v>
      </c>
      <c r="E243" s="258"/>
      <c r="F243" s="258">
        <v>70000</v>
      </c>
      <c r="G243" s="387">
        <f t="shared" si="8"/>
        <v>52150</v>
      </c>
      <c r="H243" s="77" t="s">
        <v>333</v>
      </c>
      <c r="I243" s="77" t="s">
        <v>863</v>
      </c>
      <c r="J243" s="232"/>
    </row>
    <row r="244" spans="1:10" ht="15.5">
      <c r="A244" s="268">
        <v>45696</v>
      </c>
      <c r="B244" s="77" t="s">
        <v>864</v>
      </c>
      <c r="C244" s="77" t="s">
        <v>124</v>
      </c>
      <c r="D244" s="77" t="s">
        <v>179</v>
      </c>
      <c r="E244" s="258"/>
      <c r="F244" s="258">
        <v>4000</v>
      </c>
      <c r="G244" s="387">
        <f t="shared" si="8"/>
        <v>48150</v>
      </c>
      <c r="H244" s="77" t="s">
        <v>333</v>
      </c>
      <c r="I244" s="77" t="s">
        <v>865</v>
      </c>
      <c r="J244" s="232"/>
    </row>
    <row r="245" spans="1:10" ht="15.5">
      <c r="A245" s="268">
        <v>45698</v>
      </c>
      <c r="B245" s="77" t="s">
        <v>475</v>
      </c>
      <c r="C245" s="77" t="s">
        <v>124</v>
      </c>
      <c r="D245" s="77" t="s">
        <v>127</v>
      </c>
      <c r="E245" s="258">
        <v>137000</v>
      </c>
      <c r="F245" s="258"/>
      <c r="G245" s="387">
        <f t="shared" si="8"/>
        <v>185150</v>
      </c>
      <c r="H245" s="77" t="s">
        <v>333</v>
      </c>
      <c r="I245" s="77" t="s">
        <v>866</v>
      </c>
      <c r="J245" s="232"/>
    </row>
    <row r="246" spans="1:10" ht="15.5">
      <c r="A246" s="268">
        <v>45699</v>
      </c>
      <c r="B246" s="77" t="s">
        <v>1052</v>
      </c>
      <c r="C246" s="77" t="s">
        <v>124</v>
      </c>
      <c r="D246" s="77" t="s">
        <v>469</v>
      </c>
      <c r="E246" s="258"/>
      <c r="F246" s="258">
        <v>45000</v>
      </c>
      <c r="G246" s="387">
        <f t="shared" si="8"/>
        <v>140150</v>
      </c>
      <c r="H246" s="77" t="s">
        <v>333</v>
      </c>
      <c r="I246" s="77" t="s">
        <v>867</v>
      </c>
      <c r="J246" s="232"/>
    </row>
    <row r="247" spans="1:10" ht="15.5">
      <c r="A247" s="268">
        <v>45699</v>
      </c>
      <c r="B247" s="77" t="s">
        <v>1053</v>
      </c>
      <c r="C247" s="77" t="s">
        <v>124</v>
      </c>
      <c r="D247" s="77" t="s">
        <v>179</v>
      </c>
      <c r="E247" s="258"/>
      <c r="F247" s="258">
        <v>4000</v>
      </c>
      <c r="G247" s="387">
        <f t="shared" si="8"/>
        <v>136150</v>
      </c>
      <c r="H247" s="77" t="s">
        <v>333</v>
      </c>
      <c r="I247" s="77" t="s">
        <v>868</v>
      </c>
      <c r="J247" s="232"/>
    </row>
    <row r="248" spans="1:10" ht="15.5">
      <c r="A248" s="268">
        <v>45699</v>
      </c>
      <c r="B248" s="77" t="s">
        <v>1054</v>
      </c>
      <c r="C248" s="77" t="s">
        <v>124</v>
      </c>
      <c r="D248" s="77" t="s">
        <v>179</v>
      </c>
      <c r="E248" s="258"/>
      <c r="F248" s="258">
        <v>3000</v>
      </c>
      <c r="G248" s="387">
        <f t="shared" si="8"/>
        <v>133150</v>
      </c>
      <c r="H248" s="77" t="s">
        <v>333</v>
      </c>
      <c r="I248" s="77" t="s">
        <v>869</v>
      </c>
      <c r="J248" s="232"/>
    </row>
    <row r="249" spans="1:10" ht="15.5">
      <c r="A249" s="268">
        <v>45701</v>
      </c>
      <c r="B249" s="77" t="s">
        <v>1055</v>
      </c>
      <c r="C249" s="77" t="s">
        <v>124</v>
      </c>
      <c r="D249" s="77" t="s">
        <v>469</v>
      </c>
      <c r="E249" s="258"/>
      <c r="F249" s="258">
        <v>30000</v>
      </c>
      <c r="G249" s="387">
        <f t="shared" si="8"/>
        <v>103150</v>
      </c>
      <c r="H249" s="77" t="s">
        <v>333</v>
      </c>
      <c r="I249" s="77" t="s">
        <v>870</v>
      </c>
      <c r="J249" s="232"/>
    </row>
    <row r="250" spans="1:10" ht="15.5">
      <c r="A250" s="268">
        <v>45701</v>
      </c>
      <c r="B250" s="77" t="s">
        <v>985</v>
      </c>
      <c r="C250" s="77" t="s">
        <v>124</v>
      </c>
      <c r="D250" s="77" t="s">
        <v>179</v>
      </c>
      <c r="E250" s="258"/>
      <c r="F250" s="258">
        <v>3000</v>
      </c>
      <c r="G250" s="387">
        <f t="shared" si="8"/>
        <v>100150</v>
      </c>
      <c r="H250" s="77" t="s">
        <v>333</v>
      </c>
      <c r="I250" s="77" t="s">
        <v>871</v>
      </c>
      <c r="J250" s="232"/>
    </row>
    <row r="251" spans="1:10" ht="15.5">
      <c r="A251" s="268">
        <v>45702</v>
      </c>
      <c r="B251" s="77" t="s">
        <v>872</v>
      </c>
      <c r="C251" s="77" t="s">
        <v>124</v>
      </c>
      <c r="D251" s="77" t="s">
        <v>379</v>
      </c>
      <c r="E251" s="258"/>
      <c r="F251" s="258">
        <v>4000</v>
      </c>
      <c r="G251" s="387">
        <f t="shared" si="8"/>
        <v>96150</v>
      </c>
      <c r="H251" s="77" t="s">
        <v>333</v>
      </c>
      <c r="I251" s="77" t="s">
        <v>873</v>
      </c>
      <c r="J251" s="232"/>
    </row>
    <row r="252" spans="1:10" ht="15.5">
      <c r="A252" s="268">
        <v>45702</v>
      </c>
      <c r="B252" s="77" t="s">
        <v>1056</v>
      </c>
      <c r="C252" s="77" t="s">
        <v>124</v>
      </c>
      <c r="D252" s="77" t="s">
        <v>179</v>
      </c>
      <c r="E252" s="258"/>
      <c r="F252" s="258">
        <v>7000</v>
      </c>
      <c r="G252" s="387">
        <f t="shared" si="8"/>
        <v>89150</v>
      </c>
      <c r="H252" s="77" t="s">
        <v>333</v>
      </c>
      <c r="I252" s="77" t="s">
        <v>874</v>
      </c>
      <c r="J252" s="232"/>
    </row>
    <row r="253" spans="1:10" ht="15.5">
      <c r="A253" s="268">
        <v>45703</v>
      </c>
      <c r="B253" s="77" t="s">
        <v>875</v>
      </c>
      <c r="C253" s="77" t="s">
        <v>124</v>
      </c>
      <c r="D253" s="77" t="s">
        <v>469</v>
      </c>
      <c r="E253" s="258"/>
      <c r="F253" s="258">
        <v>30000</v>
      </c>
      <c r="G253" s="387">
        <f t="shared" si="8"/>
        <v>59150</v>
      </c>
      <c r="H253" s="77" t="s">
        <v>333</v>
      </c>
      <c r="I253" s="77" t="s">
        <v>876</v>
      </c>
      <c r="J253" s="232"/>
    </row>
    <row r="254" spans="1:10" ht="15.5">
      <c r="A254" s="268">
        <v>45714</v>
      </c>
      <c r="B254" s="77" t="s">
        <v>877</v>
      </c>
      <c r="C254" s="77" t="s">
        <v>124</v>
      </c>
      <c r="D254" s="77" t="s">
        <v>179</v>
      </c>
      <c r="E254" s="258"/>
      <c r="F254" s="258">
        <v>40100</v>
      </c>
      <c r="G254" s="387">
        <f t="shared" si="8"/>
        <v>19050</v>
      </c>
      <c r="H254" s="77" t="s">
        <v>333</v>
      </c>
      <c r="I254" s="77" t="s">
        <v>878</v>
      </c>
      <c r="J254" s="232"/>
    </row>
    <row r="255" spans="1:10" ht="15.5">
      <c r="A255" s="270"/>
      <c r="B255" s="232"/>
      <c r="C255" s="232"/>
      <c r="D255" s="232"/>
      <c r="E255" s="297">
        <f>SUM(E241:E254)</f>
        <v>237000</v>
      </c>
      <c r="F255" s="297">
        <f>SUM(F241:F254)</f>
        <v>248100</v>
      </c>
      <c r="G255" s="298">
        <f>+E255-F255+G240</f>
        <v>19050</v>
      </c>
      <c r="H255" s="232"/>
      <c r="I255" s="232"/>
      <c r="J255" s="232"/>
    </row>
    <row r="256" spans="1:10" ht="15.5">
      <c r="A256" s="231"/>
      <c r="B256" s="232"/>
      <c r="C256" s="233" t="s">
        <v>476</v>
      </c>
      <c r="D256" s="232"/>
      <c r="E256" s="234"/>
      <c r="F256" s="234"/>
      <c r="G256" s="235"/>
      <c r="H256" s="232"/>
      <c r="I256" s="232"/>
      <c r="J256" s="232"/>
    </row>
    <row r="257" spans="1:10" ht="15.5">
      <c r="A257" s="236" t="s">
        <v>0</v>
      </c>
      <c r="B257" s="237" t="s">
        <v>458</v>
      </c>
      <c r="C257" s="237" t="s">
        <v>460</v>
      </c>
      <c r="D257" s="237" t="s">
        <v>459</v>
      </c>
      <c r="E257" s="238" t="s">
        <v>461</v>
      </c>
      <c r="F257" s="238" t="s">
        <v>462</v>
      </c>
      <c r="G257" s="239" t="s">
        <v>30</v>
      </c>
      <c r="H257" s="237" t="s">
        <v>463</v>
      </c>
      <c r="I257" s="237" t="s">
        <v>464</v>
      </c>
      <c r="J257" s="240"/>
    </row>
    <row r="258" spans="1:10" ht="15.5">
      <c r="A258" s="268">
        <v>45689</v>
      </c>
      <c r="B258" s="242" t="s">
        <v>900</v>
      </c>
      <c r="C258" s="242"/>
      <c r="D258" s="242"/>
      <c r="E258" s="243"/>
      <c r="F258" s="243"/>
      <c r="G258" s="275">
        <v>17222</v>
      </c>
      <c r="H258" s="276" t="s">
        <v>193</v>
      </c>
      <c r="I258" s="242"/>
      <c r="J258" s="232"/>
    </row>
    <row r="259" spans="1:10" ht="15.5">
      <c r="A259" s="260">
        <v>45692</v>
      </c>
      <c r="B259" s="77" t="s">
        <v>477</v>
      </c>
      <c r="C259" s="77" t="s">
        <v>120</v>
      </c>
      <c r="D259" s="77" t="s">
        <v>127</v>
      </c>
      <c r="E259" s="77">
        <v>70000</v>
      </c>
      <c r="F259" s="77"/>
      <c r="G259" s="377">
        <f>G258+E259-F259</f>
        <v>87222</v>
      </c>
      <c r="H259" s="77" t="s">
        <v>193</v>
      </c>
      <c r="I259" s="77" t="s">
        <v>901</v>
      </c>
      <c r="J259" s="232"/>
    </row>
    <row r="260" spans="1:10" ht="15.5">
      <c r="A260" s="260">
        <v>45692</v>
      </c>
      <c r="B260" s="77" t="s">
        <v>879</v>
      </c>
      <c r="C260" s="77" t="s">
        <v>467</v>
      </c>
      <c r="D260" s="77" t="s">
        <v>179</v>
      </c>
      <c r="E260" s="77"/>
      <c r="F260" s="77">
        <v>7000</v>
      </c>
      <c r="G260" s="377">
        <f t="shared" ref="G260:G276" si="9">G259+E260-F260</f>
        <v>80222</v>
      </c>
      <c r="H260" s="77" t="s">
        <v>193</v>
      </c>
      <c r="I260" s="77" t="s">
        <v>880</v>
      </c>
      <c r="J260" s="232"/>
    </row>
    <row r="261" spans="1:10" ht="15.5">
      <c r="A261" s="260">
        <v>45692</v>
      </c>
      <c r="B261" s="351" t="s">
        <v>620</v>
      </c>
      <c r="C261" s="352" t="s">
        <v>120</v>
      </c>
      <c r="D261" s="352" t="s">
        <v>263</v>
      </c>
      <c r="E261" s="350">
        <v>70000</v>
      </c>
      <c r="F261" s="350"/>
      <c r="G261" s="377">
        <f t="shared" si="9"/>
        <v>150222</v>
      </c>
      <c r="H261" s="77" t="s">
        <v>193</v>
      </c>
      <c r="I261" s="77" t="s">
        <v>621</v>
      </c>
      <c r="J261" s="232"/>
    </row>
    <row r="262" spans="1:10" ht="15.5">
      <c r="A262" s="260">
        <v>45692</v>
      </c>
      <c r="B262" s="351" t="s">
        <v>620</v>
      </c>
      <c r="C262" s="352" t="s">
        <v>120</v>
      </c>
      <c r="D262" s="352" t="s">
        <v>263</v>
      </c>
      <c r="E262" s="350"/>
      <c r="F262" s="77">
        <v>70000</v>
      </c>
      <c r="G262" s="377">
        <f t="shared" si="9"/>
        <v>80222</v>
      </c>
      <c r="H262" s="77" t="s">
        <v>193</v>
      </c>
      <c r="I262" s="77" t="s">
        <v>621</v>
      </c>
      <c r="J262" s="232"/>
    </row>
    <row r="263" spans="1:10" ht="15.5">
      <c r="A263" s="260">
        <v>45693</v>
      </c>
      <c r="B263" s="77" t="s">
        <v>881</v>
      </c>
      <c r="C263" s="77" t="s">
        <v>467</v>
      </c>
      <c r="D263" s="77" t="s">
        <v>183</v>
      </c>
      <c r="E263" s="77"/>
      <c r="F263" s="77">
        <v>20000</v>
      </c>
      <c r="G263" s="377">
        <f t="shared" si="9"/>
        <v>60222</v>
      </c>
      <c r="H263" s="77" t="s">
        <v>193</v>
      </c>
      <c r="I263" s="77" t="s">
        <v>882</v>
      </c>
      <c r="J263" s="232"/>
    </row>
    <row r="264" spans="1:10" ht="15.5">
      <c r="A264" s="260">
        <v>45695</v>
      </c>
      <c r="B264" s="77" t="s">
        <v>883</v>
      </c>
      <c r="C264" s="77" t="s">
        <v>467</v>
      </c>
      <c r="D264" s="77" t="s">
        <v>179</v>
      </c>
      <c r="E264" s="77"/>
      <c r="F264" s="77">
        <v>7000</v>
      </c>
      <c r="G264" s="377">
        <f t="shared" si="9"/>
        <v>53222</v>
      </c>
      <c r="H264" s="77" t="s">
        <v>193</v>
      </c>
      <c r="I264" s="77" t="s">
        <v>884</v>
      </c>
      <c r="J264" s="232"/>
    </row>
    <row r="265" spans="1:10" ht="15.5">
      <c r="A265" s="260">
        <v>45695</v>
      </c>
      <c r="B265" s="77" t="s">
        <v>885</v>
      </c>
      <c r="C265" s="77" t="s">
        <v>467</v>
      </c>
      <c r="D265" s="77" t="s">
        <v>183</v>
      </c>
      <c r="E265" s="77"/>
      <c r="F265" s="77">
        <v>30000</v>
      </c>
      <c r="G265" s="377">
        <f t="shared" si="9"/>
        <v>23222</v>
      </c>
      <c r="H265" s="77" t="s">
        <v>193</v>
      </c>
      <c r="I265" s="77" t="s">
        <v>886</v>
      </c>
      <c r="J265" s="232"/>
    </row>
    <row r="266" spans="1:10" ht="15.5">
      <c r="A266" s="260">
        <v>45702</v>
      </c>
      <c r="B266" s="77" t="s">
        <v>477</v>
      </c>
      <c r="C266" s="77" t="s">
        <v>467</v>
      </c>
      <c r="D266" s="77" t="s">
        <v>127</v>
      </c>
      <c r="E266" s="77">
        <v>199000</v>
      </c>
      <c r="F266" s="77"/>
      <c r="G266" s="377">
        <f t="shared" si="9"/>
        <v>222222</v>
      </c>
      <c r="H266" s="77" t="s">
        <v>193</v>
      </c>
      <c r="I266" s="77" t="s">
        <v>902</v>
      </c>
      <c r="J266" s="232"/>
    </row>
    <row r="267" spans="1:10" ht="15.5">
      <c r="A267" s="260">
        <v>45702</v>
      </c>
      <c r="B267" s="77" t="s">
        <v>887</v>
      </c>
      <c r="C267" s="77" t="s">
        <v>467</v>
      </c>
      <c r="D267" s="77" t="s">
        <v>179</v>
      </c>
      <c r="E267" s="77"/>
      <c r="F267" s="77">
        <v>7000</v>
      </c>
      <c r="G267" s="377">
        <f t="shared" si="9"/>
        <v>215222</v>
      </c>
      <c r="H267" s="77" t="s">
        <v>193</v>
      </c>
      <c r="I267" s="77" t="s">
        <v>888</v>
      </c>
      <c r="J267" s="232"/>
    </row>
    <row r="268" spans="1:10" ht="15.5">
      <c r="A268" s="260">
        <v>45703</v>
      </c>
      <c r="B268" s="77" t="s">
        <v>889</v>
      </c>
      <c r="C268" s="77" t="s">
        <v>467</v>
      </c>
      <c r="D268" s="77" t="s">
        <v>183</v>
      </c>
      <c r="E268" s="77"/>
      <c r="F268" s="77">
        <v>170000</v>
      </c>
      <c r="G268" s="377">
        <f t="shared" si="9"/>
        <v>45222</v>
      </c>
      <c r="H268" s="77" t="s">
        <v>193</v>
      </c>
      <c r="I268" s="77" t="s">
        <v>890</v>
      </c>
      <c r="J268" s="232"/>
    </row>
    <row r="269" spans="1:10" ht="15.5">
      <c r="A269" s="260">
        <v>45707</v>
      </c>
      <c r="B269" s="77" t="s">
        <v>477</v>
      </c>
      <c r="C269" s="77" t="s">
        <v>467</v>
      </c>
      <c r="D269" s="77" t="s">
        <v>127</v>
      </c>
      <c r="E269" s="77">
        <v>75000</v>
      </c>
      <c r="F269" s="77"/>
      <c r="G269" s="377">
        <f t="shared" si="9"/>
        <v>120222</v>
      </c>
      <c r="H269" s="77" t="s">
        <v>193</v>
      </c>
      <c r="I269" s="77" t="s">
        <v>903</v>
      </c>
      <c r="J269" s="232"/>
    </row>
    <row r="270" spans="1:10" ht="15.5">
      <c r="A270" s="260">
        <v>45710</v>
      </c>
      <c r="B270" s="77" t="s">
        <v>477</v>
      </c>
      <c r="C270" s="77" t="s">
        <v>467</v>
      </c>
      <c r="D270" s="77" t="s">
        <v>127</v>
      </c>
      <c r="E270" s="77">
        <v>75000</v>
      </c>
      <c r="F270" s="77"/>
      <c r="G270" s="377">
        <f t="shared" si="9"/>
        <v>195222</v>
      </c>
      <c r="H270" s="77" t="s">
        <v>193</v>
      </c>
      <c r="I270" s="77" t="s">
        <v>904</v>
      </c>
      <c r="J270" s="232"/>
    </row>
    <row r="271" spans="1:10" ht="15.5">
      <c r="A271" s="260">
        <v>45712</v>
      </c>
      <c r="B271" s="77" t="s">
        <v>254</v>
      </c>
      <c r="C271" s="77" t="s">
        <v>206</v>
      </c>
      <c r="D271" s="77" t="s">
        <v>183</v>
      </c>
      <c r="E271" s="77"/>
      <c r="F271" s="77">
        <v>18000</v>
      </c>
      <c r="G271" s="377">
        <f t="shared" si="9"/>
        <v>177222</v>
      </c>
      <c r="H271" s="77" t="s">
        <v>193</v>
      </c>
      <c r="I271" s="77" t="s">
        <v>891</v>
      </c>
      <c r="J271" s="232"/>
    </row>
    <row r="272" spans="1:10" ht="15.5">
      <c r="A272" s="260">
        <v>45712</v>
      </c>
      <c r="B272" s="77" t="s">
        <v>892</v>
      </c>
      <c r="C272" s="77" t="s">
        <v>206</v>
      </c>
      <c r="D272" s="77" t="s">
        <v>179</v>
      </c>
      <c r="E272" s="77"/>
      <c r="F272" s="77">
        <v>25000</v>
      </c>
      <c r="G272" s="377">
        <f t="shared" si="9"/>
        <v>152222</v>
      </c>
      <c r="H272" s="77" t="s">
        <v>193</v>
      </c>
      <c r="I272" s="77" t="s">
        <v>893</v>
      </c>
      <c r="J272" s="232"/>
    </row>
    <row r="273" spans="1:10" ht="15.5">
      <c r="A273" s="260">
        <v>45713</v>
      </c>
      <c r="B273" s="353" t="s">
        <v>894</v>
      </c>
      <c r="C273" s="77" t="s">
        <v>467</v>
      </c>
      <c r="D273" s="77" t="s">
        <v>183</v>
      </c>
      <c r="E273" s="77"/>
      <c r="F273" s="77">
        <v>150000</v>
      </c>
      <c r="G273" s="377">
        <f t="shared" si="9"/>
        <v>2222</v>
      </c>
      <c r="H273" s="77" t="s">
        <v>193</v>
      </c>
      <c r="I273" s="77" t="s">
        <v>895</v>
      </c>
      <c r="J273" s="232"/>
    </row>
    <row r="274" spans="1:10" ht="15.5">
      <c r="A274" s="260">
        <v>45714</v>
      </c>
      <c r="B274" s="77" t="s">
        <v>477</v>
      </c>
      <c r="C274" s="77" t="s">
        <v>467</v>
      </c>
      <c r="D274" s="77" t="s">
        <v>127</v>
      </c>
      <c r="E274" s="77">
        <v>100000</v>
      </c>
      <c r="F274" s="77"/>
      <c r="G274" s="377">
        <f t="shared" si="9"/>
        <v>102222</v>
      </c>
      <c r="H274" s="77" t="s">
        <v>193</v>
      </c>
      <c r="I274" s="77" t="s">
        <v>905</v>
      </c>
      <c r="J274" s="232"/>
    </row>
    <row r="275" spans="1:10" ht="15.5">
      <c r="A275" s="260">
        <v>45716</v>
      </c>
      <c r="B275" s="77" t="s">
        <v>896</v>
      </c>
      <c r="C275" s="77" t="s">
        <v>467</v>
      </c>
      <c r="D275" s="77" t="s">
        <v>319</v>
      </c>
      <c r="E275" s="77"/>
      <c r="F275" s="284">
        <v>24675</v>
      </c>
      <c r="G275" s="377">
        <f t="shared" si="9"/>
        <v>77547</v>
      </c>
      <c r="H275" s="77" t="s">
        <v>193</v>
      </c>
      <c r="I275" s="77" t="s">
        <v>897</v>
      </c>
      <c r="J275" s="232"/>
    </row>
    <row r="276" spans="1:10" ht="15.5">
      <c r="A276" s="260">
        <v>45716</v>
      </c>
      <c r="B276" s="351" t="s">
        <v>898</v>
      </c>
      <c r="C276" s="77" t="s">
        <v>467</v>
      </c>
      <c r="D276" s="77" t="s">
        <v>179</v>
      </c>
      <c r="E276" s="77"/>
      <c r="F276" s="77">
        <v>35500</v>
      </c>
      <c r="G276" s="377">
        <f t="shared" si="9"/>
        <v>42047</v>
      </c>
      <c r="H276" s="77" t="s">
        <v>193</v>
      </c>
      <c r="I276" s="77" t="s">
        <v>899</v>
      </c>
      <c r="J276" s="232"/>
    </row>
    <row r="277" spans="1:10" ht="15.5">
      <c r="A277" s="260">
        <v>45716</v>
      </c>
      <c r="B277" s="77" t="s">
        <v>477</v>
      </c>
      <c r="C277" s="77"/>
      <c r="D277" s="77" t="s">
        <v>127</v>
      </c>
      <c r="E277" s="77">
        <v>81000</v>
      </c>
      <c r="F277" s="77"/>
      <c r="G277" s="377">
        <f t="shared" ref="G277" si="10">G276+E277-F277</f>
        <v>123047</v>
      </c>
      <c r="H277" s="77" t="s">
        <v>193</v>
      </c>
      <c r="I277" s="77" t="s">
        <v>906</v>
      </c>
      <c r="J277" s="232"/>
    </row>
    <row r="278" spans="1:10" ht="15.5">
      <c r="A278" s="270"/>
      <c r="B278" s="232"/>
      <c r="C278" s="232"/>
      <c r="D278" s="232"/>
      <c r="E278" s="297">
        <f>SUM(E258:E277)</f>
        <v>670000</v>
      </c>
      <c r="F278" s="297">
        <f>SUM(F258:F277)</f>
        <v>564175</v>
      </c>
      <c r="G278" s="277">
        <f>+E278-F278+G258</f>
        <v>123047</v>
      </c>
      <c r="H278" s="232"/>
      <c r="I278" s="232"/>
      <c r="J278" s="232"/>
    </row>
    <row r="279" spans="1:10" ht="15.5">
      <c r="A279" s="270"/>
      <c r="B279" s="232"/>
      <c r="C279" s="232"/>
      <c r="D279" s="232"/>
      <c r="E279" s="234"/>
      <c r="F279" s="234"/>
      <c r="G279" s="277"/>
      <c r="H279" s="232"/>
      <c r="I279" s="232"/>
      <c r="J279" s="232"/>
    </row>
    <row r="280" spans="1:10" ht="15.5">
      <c r="A280" s="270"/>
      <c r="B280" s="232"/>
      <c r="C280" s="232"/>
      <c r="D280" s="232"/>
      <c r="E280" s="234"/>
      <c r="F280" s="234"/>
      <c r="G280" s="277"/>
      <c r="H280" s="232"/>
      <c r="I280" s="232"/>
      <c r="J280" s="232"/>
    </row>
    <row r="281" spans="1:10">
      <c r="A281" s="278"/>
      <c r="D281"/>
      <c r="G281" s="279"/>
    </row>
    <row r="282" spans="1:10" ht="15.5">
      <c r="A282" s="231"/>
      <c r="B282" s="232"/>
      <c r="C282" s="233" t="s">
        <v>478</v>
      </c>
      <c r="D282" s="232"/>
      <c r="E282" s="234"/>
      <c r="F282" s="234"/>
      <c r="G282" s="235"/>
      <c r="H282" s="232"/>
      <c r="I282" s="232"/>
      <c r="J282" s="232"/>
    </row>
    <row r="283" spans="1:10" ht="15.5">
      <c r="A283" s="231"/>
      <c r="B283" s="232"/>
      <c r="C283" s="232"/>
      <c r="D283" s="232"/>
      <c r="E283" s="234"/>
      <c r="F283" s="234"/>
      <c r="G283" s="235"/>
      <c r="H283" s="232"/>
      <c r="I283" s="232"/>
      <c r="J283" s="232"/>
    </row>
    <row r="284" spans="1:10" ht="15.5">
      <c r="A284" s="236" t="s">
        <v>0</v>
      </c>
      <c r="B284" s="237" t="s">
        <v>458</v>
      </c>
      <c r="C284" s="237" t="s">
        <v>460</v>
      </c>
      <c r="D284" s="237" t="s">
        <v>459</v>
      </c>
      <c r="E284" s="238" t="s">
        <v>461</v>
      </c>
      <c r="F284" s="238" t="s">
        <v>462</v>
      </c>
      <c r="G284" s="248" t="s">
        <v>30</v>
      </c>
      <c r="H284" s="237" t="s">
        <v>463</v>
      </c>
      <c r="I284" s="237" t="s">
        <v>464</v>
      </c>
      <c r="J284" s="240"/>
    </row>
    <row r="285" spans="1:10" ht="15.5">
      <c r="A285" s="268">
        <v>45689</v>
      </c>
      <c r="B285" s="242" t="s">
        <v>907</v>
      </c>
      <c r="C285" s="242"/>
      <c r="D285" s="242"/>
      <c r="E285" s="243"/>
      <c r="F285" s="243"/>
      <c r="G285" s="388">
        <v>7900</v>
      </c>
      <c r="H285" s="242" t="s">
        <v>196</v>
      </c>
      <c r="I285" s="242"/>
      <c r="J285" s="232"/>
    </row>
    <row r="286" spans="1:10" ht="15.5">
      <c r="A286" s="268">
        <v>45696</v>
      </c>
      <c r="B286" s="348" t="s">
        <v>198</v>
      </c>
      <c r="C286" s="351" t="s">
        <v>121</v>
      </c>
      <c r="D286" s="351" t="s">
        <v>188</v>
      </c>
      <c r="E286" s="350">
        <v>4830.0000000000009</v>
      </c>
      <c r="F286" s="350"/>
      <c r="G286" s="387">
        <f>+G285+E286-F286</f>
        <v>12730</v>
      </c>
      <c r="H286" s="352" t="s">
        <v>196</v>
      </c>
      <c r="I286" s="224" t="s">
        <v>555</v>
      </c>
      <c r="J286" s="232"/>
    </row>
    <row r="287" spans="1:10" ht="15.5">
      <c r="A287" s="268">
        <v>45696</v>
      </c>
      <c r="B287" s="348" t="s">
        <v>198</v>
      </c>
      <c r="C287" s="351" t="s">
        <v>121</v>
      </c>
      <c r="D287" s="351" t="s">
        <v>188</v>
      </c>
      <c r="E287" s="350"/>
      <c r="F287" s="350">
        <v>4830.0000000000009</v>
      </c>
      <c r="G287" s="387">
        <f t="shared" ref="G287:G302" si="11">+G286+E287-F287</f>
        <v>7899.9999999999991</v>
      </c>
      <c r="H287" s="352" t="s">
        <v>196</v>
      </c>
      <c r="I287" s="224" t="s">
        <v>555</v>
      </c>
      <c r="J287" s="232"/>
    </row>
    <row r="288" spans="1:10" ht="15.5">
      <c r="A288" s="268">
        <v>45699</v>
      </c>
      <c r="B288" s="77" t="s">
        <v>479</v>
      </c>
      <c r="C288" s="77" t="s">
        <v>120</v>
      </c>
      <c r="D288" s="258" t="s">
        <v>127</v>
      </c>
      <c r="E288" s="274">
        <v>84000</v>
      </c>
      <c r="F288" s="274"/>
      <c r="G288" s="387">
        <f t="shared" si="11"/>
        <v>91900</v>
      </c>
      <c r="H288" s="77" t="s">
        <v>196</v>
      </c>
      <c r="I288" s="77" t="s">
        <v>556</v>
      </c>
      <c r="J288" s="232"/>
    </row>
    <row r="289" spans="1:10" ht="15.5">
      <c r="A289" s="268">
        <v>45699</v>
      </c>
      <c r="B289" s="77" t="s">
        <v>557</v>
      </c>
      <c r="C289" s="77" t="s">
        <v>120</v>
      </c>
      <c r="D289" s="77" t="s">
        <v>179</v>
      </c>
      <c r="E289" s="256"/>
      <c r="F289" s="274">
        <v>7000</v>
      </c>
      <c r="G289" s="387">
        <f t="shared" si="11"/>
        <v>84900</v>
      </c>
      <c r="H289" s="77" t="s">
        <v>196</v>
      </c>
      <c r="I289" s="77" t="s">
        <v>558</v>
      </c>
      <c r="J289" s="232"/>
    </row>
    <row r="290" spans="1:10" ht="15.5">
      <c r="A290" s="268">
        <v>45699</v>
      </c>
      <c r="B290" s="351" t="s">
        <v>559</v>
      </c>
      <c r="C290" s="352" t="s">
        <v>120</v>
      </c>
      <c r="D290" s="352" t="s">
        <v>263</v>
      </c>
      <c r="E290" s="350">
        <v>70000</v>
      </c>
      <c r="F290" s="350"/>
      <c r="G290" s="387">
        <f t="shared" si="11"/>
        <v>154900</v>
      </c>
      <c r="H290" s="352" t="s">
        <v>196</v>
      </c>
      <c r="I290" s="224" t="s">
        <v>560</v>
      </c>
      <c r="J290" s="232"/>
    </row>
    <row r="291" spans="1:10" ht="15.5">
      <c r="A291" s="268">
        <v>45699</v>
      </c>
      <c r="B291" s="351" t="s">
        <v>559</v>
      </c>
      <c r="C291" s="352" t="s">
        <v>120</v>
      </c>
      <c r="D291" s="352" t="s">
        <v>263</v>
      </c>
      <c r="E291" s="350"/>
      <c r="F291" s="350">
        <v>70000</v>
      </c>
      <c r="G291" s="387">
        <f t="shared" si="11"/>
        <v>84900</v>
      </c>
      <c r="H291" s="352" t="s">
        <v>196</v>
      </c>
      <c r="I291" s="224" t="s">
        <v>560</v>
      </c>
      <c r="J291" s="232"/>
    </row>
    <row r="292" spans="1:10" ht="15.5">
      <c r="A292" s="268">
        <v>45700</v>
      </c>
      <c r="B292" s="77" t="s">
        <v>561</v>
      </c>
      <c r="C292" s="77" t="s">
        <v>120</v>
      </c>
      <c r="D292" s="77" t="s">
        <v>469</v>
      </c>
      <c r="E292" s="256"/>
      <c r="F292" s="274">
        <v>170000</v>
      </c>
      <c r="G292" s="387">
        <f t="shared" si="11"/>
        <v>-85100</v>
      </c>
      <c r="H292" s="77" t="s">
        <v>196</v>
      </c>
      <c r="I292" s="77" t="s">
        <v>562</v>
      </c>
      <c r="J292" s="232"/>
    </row>
    <row r="293" spans="1:10" ht="15.5">
      <c r="A293" s="268">
        <v>45702</v>
      </c>
      <c r="B293" s="77" t="s">
        <v>479</v>
      </c>
      <c r="C293" s="77" t="s">
        <v>120</v>
      </c>
      <c r="D293" s="258" t="s">
        <v>127</v>
      </c>
      <c r="E293" s="256">
        <v>135000</v>
      </c>
      <c r="F293" s="274"/>
      <c r="G293" s="387">
        <f t="shared" si="11"/>
        <v>49900</v>
      </c>
      <c r="H293" s="77" t="s">
        <v>196</v>
      </c>
      <c r="I293" s="77" t="s">
        <v>563</v>
      </c>
      <c r="J293" s="232"/>
    </row>
    <row r="294" spans="1:10" ht="15.5">
      <c r="A294" s="268">
        <v>45703</v>
      </c>
      <c r="B294" s="77" t="s">
        <v>564</v>
      </c>
      <c r="C294" s="77" t="s">
        <v>120</v>
      </c>
      <c r="D294" s="77" t="s">
        <v>469</v>
      </c>
      <c r="E294" s="256"/>
      <c r="F294" s="274">
        <v>45000</v>
      </c>
      <c r="G294" s="387">
        <f t="shared" si="11"/>
        <v>4900</v>
      </c>
      <c r="H294" s="77" t="s">
        <v>196</v>
      </c>
      <c r="I294" s="77" t="s">
        <v>565</v>
      </c>
      <c r="J294" s="232"/>
    </row>
    <row r="295" spans="1:10" ht="15.5">
      <c r="A295" s="268">
        <v>45707</v>
      </c>
      <c r="B295" s="77" t="s">
        <v>479</v>
      </c>
      <c r="C295" s="77" t="s">
        <v>120</v>
      </c>
      <c r="D295" s="258" t="s">
        <v>127</v>
      </c>
      <c r="E295" s="256">
        <v>75000</v>
      </c>
      <c r="F295" s="274"/>
      <c r="G295" s="387">
        <f t="shared" si="11"/>
        <v>79900</v>
      </c>
      <c r="H295" s="77" t="s">
        <v>196</v>
      </c>
      <c r="I295" s="77" t="s">
        <v>566</v>
      </c>
      <c r="J295" s="232"/>
    </row>
    <row r="296" spans="1:10" ht="15.5">
      <c r="A296" s="268">
        <v>45708</v>
      </c>
      <c r="B296" s="77" t="s">
        <v>567</v>
      </c>
      <c r="C296" s="77" t="s">
        <v>120</v>
      </c>
      <c r="D296" s="77" t="s">
        <v>469</v>
      </c>
      <c r="E296" s="256"/>
      <c r="F296" s="274">
        <v>75000</v>
      </c>
      <c r="G296" s="387">
        <f t="shared" si="11"/>
        <v>4900</v>
      </c>
      <c r="H296" s="77" t="s">
        <v>196</v>
      </c>
      <c r="I296" s="77" t="s">
        <v>568</v>
      </c>
      <c r="J296" s="232"/>
    </row>
    <row r="297" spans="1:10" ht="15.5">
      <c r="A297" s="268">
        <v>45710</v>
      </c>
      <c r="B297" s="77" t="s">
        <v>479</v>
      </c>
      <c r="C297" s="77" t="s">
        <v>120</v>
      </c>
      <c r="D297" s="258" t="s">
        <v>127</v>
      </c>
      <c r="E297" s="256">
        <v>75000</v>
      </c>
      <c r="F297" s="274"/>
      <c r="G297" s="387">
        <f t="shared" si="11"/>
        <v>79900</v>
      </c>
      <c r="H297" s="77" t="s">
        <v>196</v>
      </c>
      <c r="I297" s="77" t="s">
        <v>569</v>
      </c>
      <c r="J297" s="232"/>
    </row>
    <row r="298" spans="1:10" ht="15.5">
      <c r="A298" s="268">
        <v>45712</v>
      </c>
      <c r="B298" s="77" t="s">
        <v>570</v>
      </c>
      <c r="C298" s="77" t="s">
        <v>120</v>
      </c>
      <c r="D298" s="77" t="s">
        <v>469</v>
      </c>
      <c r="E298" s="256"/>
      <c r="F298" s="274">
        <v>5100</v>
      </c>
      <c r="G298" s="387">
        <f t="shared" si="11"/>
        <v>74800</v>
      </c>
      <c r="H298" s="77" t="s">
        <v>196</v>
      </c>
      <c r="I298" s="77" t="s">
        <v>571</v>
      </c>
      <c r="J298" s="232"/>
    </row>
    <row r="299" spans="1:10" ht="15.5">
      <c r="A299" s="268">
        <v>45714</v>
      </c>
      <c r="B299" s="77" t="s">
        <v>479</v>
      </c>
      <c r="C299" s="77" t="s">
        <v>120</v>
      </c>
      <c r="D299" s="258" t="s">
        <v>127</v>
      </c>
      <c r="E299" s="256">
        <v>121000</v>
      </c>
      <c r="F299" s="274"/>
      <c r="G299" s="387">
        <f t="shared" si="11"/>
        <v>195800</v>
      </c>
      <c r="H299" s="77" t="s">
        <v>196</v>
      </c>
      <c r="I299" s="77" t="s">
        <v>572</v>
      </c>
      <c r="J299" s="232"/>
    </row>
    <row r="300" spans="1:10" ht="15.5">
      <c r="A300" s="268">
        <v>45714</v>
      </c>
      <c r="B300" s="77" t="s">
        <v>573</v>
      </c>
      <c r="C300" s="77" t="s">
        <v>120</v>
      </c>
      <c r="D300" s="77" t="s">
        <v>297</v>
      </c>
      <c r="E300" s="256"/>
      <c r="F300" s="274">
        <v>4000</v>
      </c>
      <c r="G300" s="387">
        <f t="shared" si="11"/>
        <v>191800</v>
      </c>
      <c r="H300" s="77" t="s">
        <v>196</v>
      </c>
      <c r="I300" s="77" t="s">
        <v>574</v>
      </c>
      <c r="J300" s="232"/>
    </row>
    <row r="301" spans="1:10" ht="15.5">
      <c r="A301" s="268">
        <v>45716</v>
      </c>
      <c r="B301" s="77" t="s">
        <v>575</v>
      </c>
      <c r="C301" s="77" t="s">
        <v>120</v>
      </c>
      <c r="D301" s="77" t="s">
        <v>297</v>
      </c>
      <c r="E301" s="256"/>
      <c r="F301" s="274">
        <v>18000</v>
      </c>
      <c r="G301" s="387">
        <f t="shared" si="11"/>
        <v>173800</v>
      </c>
      <c r="H301" s="77" t="s">
        <v>196</v>
      </c>
      <c r="I301" s="77" t="s">
        <v>576</v>
      </c>
      <c r="J301" s="232"/>
    </row>
    <row r="302" spans="1:10" ht="15.5">
      <c r="A302" s="268">
        <v>45716</v>
      </c>
      <c r="B302" s="77" t="s">
        <v>966</v>
      </c>
      <c r="C302" s="77" t="s">
        <v>120</v>
      </c>
      <c r="D302" s="77" t="s">
        <v>179</v>
      </c>
      <c r="E302" s="256"/>
      <c r="F302" s="274">
        <v>45000</v>
      </c>
      <c r="G302" s="387">
        <f t="shared" si="11"/>
        <v>128800</v>
      </c>
      <c r="H302" s="77" t="s">
        <v>196</v>
      </c>
      <c r="I302" s="77" t="s">
        <v>967</v>
      </c>
      <c r="J302" s="232"/>
    </row>
    <row r="303" spans="1:10" ht="15.5">
      <c r="A303" s="281"/>
      <c r="D303"/>
      <c r="E303" s="302">
        <f>SUM(E286:E302)</f>
        <v>564830</v>
      </c>
      <c r="F303" s="302">
        <f>SUM(F286:F302)</f>
        <v>443930</v>
      </c>
      <c r="G303" s="283">
        <f>E303-F303+G285</f>
        <v>128800</v>
      </c>
      <c r="H303" s="232"/>
      <c r="I303" s="232"/>
      <c r="J303" s="232"/>
    </row>
    <row r="304" spans="1:10" ht="15.5">
      <c r="A304" s="281"/>
      <c r="D304"/>
      <c r="E304" s="282"/>
      <c r="F304" s="234"/>
      <c r="G304" s="283"/>
      <c r="H304" s="232"/>
      <c r="I304" s="232"/>
      <c r="J304" s="232"/>
    </row>
    <row r="305" spans="1:10" ht="15.5">
      <c r="A305" s="281"/>
      <c r="D305"/>
      <c r="E305" s="282"/>
      <c r="F305" s="234"/>
      <c r="G305" s="283"/>
      <c r="H305" s="232"/>
      <c r="I305" s="232"/>
      <c r="J305" s="232"/>
    </row>
    <row r="306" spans="1:10" ht="15.5">
      <c r="A306" s="281"/>
      <c r="B306" s="398" t="s">
        <v>480</v>
      </c>
      <c r="C306" s="398"/>
      <c r="D306" s="398"/>
      <c r="E306" s="398"/>
      <c r="F306" s="234"/>
      <c r="G306" s="283"/>
      <c r="H306" s="232"/>
      <c r="I306" s="232"/>
      <c r="J306" s="232"/>
    </row>
    <row r="307" spans="1:10" ht="15.5">
      <c r="A307" s="231"/>
      <c r="B307" s="232"/>
      <c r="C307" s="232"/>
      <c r="D307" s="232"/>
      <c r="E307" s="234"/>
      <c r="F307" s="234"/>
      <c r="G307" s="235"/>
      <c r="H307" s="232"/>
      <c r="I307" s="232"/>
      <c r="J307" s="232"/>
    </row>
    <row r="308" spans="1:10" ht="15.5">
      <c r="A308" s="236" t="s">
        <v>0</v>
      </c>
      <c r="B308" s="237" t="s">
        <v>458</v>
      </c>
      <c r="C308" s="237" t="s">
        <v>460</v>
      </c>
      <c r="D308" s="237" t="s">
        <v>459</v>
      </c>
      <c r="E308" s="238" t="s">
        <v>461</v>
      </c>
      <c r="F308" s="238" t="s">
        <v>462</v>
      </c>
      <c r="G308" s="239" t="s">
        <v>30</v>
      </c>
      <c r="H308" s="237" t="s">
        <v>463</v>
      </c>
      <c r="I308" s="237" t="s">
        <v>464</v>
      </c>
      <c r="J308" s="240"/>
    </row>
    <row r="309" spans="1:10" ht="15.5">
      <c r="A309" s="268">
        <v>45689</v>
      </c>
      <c r="B309" s="242" t="s">
        <v>600</v>
      </c>
      <c r="C309" s="242"/>
      <c r="D309" s="242"/>
      <c r="E309" s="243"/>
      <c r="F309" s="243"/>
      <c r="G309" s="280">
        <v>12500</v>
      </c>
      <c r="H309" s="242" t="s">
        <v>199</v>
      </c>
      <c r="I309" s="242"/>
      <c r="J309" s="232"/>
    </row>
    <row r="310" spans="1:10" ht="15.5">
      <c r="A310" s="268">
        <v>45692</v>
      </c>
      <c r="B310" s="77" t="s">
        <v>481</v>
      </c>
      <c r="C310" s="77" t="s">
        <v>120</v>
      </c>
      <c r="D310" s="258" t="s">
        <v>127</v>
      </c>
      <c r="E310" s="256">
        <v>84000</v>
      </c>
      <c r="F310" s="274"/>
      <c r="G310" s="256">
        <f>+G309+E310-F310</f>
        <v>96500</v>
      </c>
      <c r="H310" s="77" t="s">
        <v>199</v>
      </c>
      <c r="I310" s="77" t="s">
        <v>925</v>
      </c>
      <c r="J310" s="232"/>
    </row>
    <row r="311" spans="1:10" ht="15.5">
      <c r="A311" s="268">
        <v>45692</v>
      </c>
      <c r="B311" s="77" t="s">
        <v>926</v>
      </c>
      <c r="C311" s="77" t="s">
        <v>120</v>
      </c>
      <c r="D311" s="77" t="s">
        <v>179</v>
      </c>
      <c r="E311" s="256"/>
      <c r="F311" s="274">
        <v>7000</v>
      </c>
      <c r="G311" s="256">
        <f t="shared" ref="G311:G341" si="12">+G310+E311-F311</f>
        <v>89500</v>
      </c>
      <c r="H311" s="77" t="s">
        <v>199</v>
      </c>
      <c r="I311" s="77" t="s">
        <v>927</v>
      </c>
      <c r="J311" s="232"/>
    </row>
    <row r="312" spans="1:10" ht="15.5">
      <c r="A312" s="268">
        <v>45693</v>
      </c>
      <c r="B312" s="77" t="s">
        <v>928</v>
      </c>
      <c r="C312" s="77" t="s">
        <v>120</v>
      </c>
      <c r="D312" s="77" t="s">
        <v>183</v>
      </c>
      <c r="E312" s="256"/>
      <c r="F312" s="274">
        <v>20000</v>
      </c>
      <c r="G312" s="256">
        <f t="shared" si="12"/>
        <v>69500</v>
      </c>
      <c r="H312" s="77" t="s">
        <v>199</v>
      </c>
      <c r="I312" s="77" t="s">
        <v>929</v>
      </c>
      <c r="J312" s="232"/>
    </row>
    <row r="313" spans="1:10" ht="15.5">
      <c r="A313" s="268">
        <v>45695</v>
      </c>
      <c r="B313" s="77" t="s">
        <v>930</v>
      </c>
      <c r="C313" s="77" t="s">
        <v>120</v>
      </c>
      <c r="D313" s="77" t="s">
        <v>179</v>
      </c>
      <c r="E313" s="256"/>
      <c r="F313" s="274">
        <v>7000</v>
      </c>
      <c r="G313" s="256">
        <f t="shared" si="12"/>
        <v>62500</v>
      </c>
      <c r="H313" s="77" t="s">
        <v>199</v>
      </c>
      <c r="I313" s="77" t="s">
        <v>931</v>
      </c>
      <c r="J313" s="232"/>
    </row>
    <row r="314" spans="1:10" ht="15.5">
      <c r="A314" s="268">
        <v>45695</v>
      </c>
      <c r="B314" s="77" t="s">
        <v>932</v>
      </c>
      <c r="C314" s="77" t="s">
        <v>120</v>
      </c>
      <c r="D314" s="77" t="s">
        <v>183</v>
      </c>
      <c r="E314" s="256"/>
      <c r="F314" s="274">
        <v>30000</v>
      </c>
      <c r="G314" s="256">
        <f t="shared" si="12"/>
        <v>32500</v>
      </c>
      <c r="H314" s="77" t="s">
        <v>199</v>
      </c>
      <c r="I314" s="77" t="s">
        <v>933</v>
      </c>
      <c r="J314" s="232"/>
    </row>
    <row r="315" spans="1:10" ht="15.5">
      <c r="A315" s="268">
        <v>45699</v>
      </c>
      <c r="B315" s="222" t="s">
        <v>634</v>
      </c>
      <c r="C315" s="351" t="s">
        <v>121</v>
      </c>
      <c r="D315" s="351" t="s">
        <v>188</v>
      </c>
      <c r="E315" s="350">
        <v>4110</v>
      </c>
      <c r="F315" s="350"/>
      <c r="G315" s="256">
        <f t="shared" si="12"/>
        <v>36610</v>
      </c>
      <c r="H315" s="352" t="s">
        <v>199</v>
      </c>
      <c r="I315" s="224" t="s">
        <v>635</v>
      </c>
      <c r="J315" s="232"/>
    </row>
    <row r="316" spans="1:10" ht="15.5">
      <c r="A316" s="268">
        <v>45699</v>
      </c>
      <c r="B316" s="222" t="s">
        <v>638</v>
      </c>
      <c r="C316" s="351" t="s">
        <v>121</v>
      </c>
      <c r="D316" s="351" t="s">
        <v>188</v>
      </c>
      <c r="E316" s="350">
        <v>6720</v>
      </c>
      <c r="F316" s="350"/>
      <c r="G316" s="256">
        <f t="shared" si="12"/>
        <v>43330</v>
      </c>
      <c r="H316" s="352" t="s">
        <v>199</v>
      </c>
      <c r="I316" s="224" t="s">
        <v>639</v>
      </c>
      <c r="J316" s="232"/>
    </row>
    <row r="317" spans="1:10" ht="15.5">
      <c r="A317" s="268">
        <v>45699</v>
      </c>
      <c r="B317" s="222" t="s">
        <v>634</v>
      </c>
      <c r="C317" s="351" t="s">
        <v>121</v>
      </c>
      <c r="D317" s="351" t="s">
        <v>188</v>
      </c>
      <c r="E317" s="350"/>
      <c r="F317" s="350">
        <v>4110</v>
      </c>
      <c r="G317" s="256">
        <f t="shared" si="12"/>
        <v>39220</v>
      </c>
      <c r="H317" s="352" t="s">
        <v>199</v>
      </c>
      <c r="I317" s="224" t="s">
        <v>635</v>
      </c>
      <c r="J317" s="232"/>
    </row>
    <row r="318" spans="1:10" ht="15.5">
      <c r="A318" s="268">
        <v>45699</v>
      </c>
      <c r="B318" s="222" t="s">
        <v>638</v>
      </c>
      <c r="C318" s="351" t="s">
        <v>121</v>
      </c>
      <c r="D318" s="351" t="s">
        <v>188</v>
      </c>
      <c r="E318" s="350"/>
      <c r="F318" s="350">
        <v>6720</v>
      </c>
      <c r="G318" s="256">
        <f t="shared" si="12"/>
        <v>32500</v>
      </c>
      <c r="H318" s="352" t="s">
        <v>199</v>
      </c>
      <c r="I318" s="224" t="s">
        <v>639</v>
      </c>
      <c r="J318" s="232"/>
    </row>
    <row r="319" spans="1:10" ht="15.5">
      <c r="A319" s="268">
        <v>45700</v>
      </c>
      <c r="B319" s="77" t="s">
        <v>481</v>
      </c>
      <c r="C319" s="77" t="s">
        <v>120</v>
      </c>
      <c r="D319" s="258" t="s">
        <v>127</v>
      </c>
      <c r="E319" s="256">
        <v>98000</v>
      </c>
      <c r="F319" s="274"/>
      <c r="G319" s="256">
        <f t="shared" si="12"/>
        <v>130500</v>
      </c>
      <c r="H319" s="77" t="s">
        <v>199</v>
      </c>
      <c r="I319" s="77" t="s">
        <v>908</v>
      </c>
      <c r="J319" s="232"/>
    </row>
    <row r="320" spans="1:10" ht="15.5">
      <c r="A320" s="268">
        <v>45700</v>
      </c>
      <c r="B320" s="77" t="s">
        <v>909</v>
      </c>
      <c r="C320" s="77" t="s">
        <v>120</v>
      </c>
      <c r="D320" s="77" t="s">
        <v>179</v>
      </c>
      <c r="E320" s="256"/>
      <c r="F320" s="274">
        <v>8000</v>
      </c>
      <c r="G320" s="256">
        <f t="shared" si="12"/>
        <v>122500</v>
      </c>
      <c r="H320" s="77" t="s">
        <v>199</v>
      </c>
      <c r="I320" s="77" t="s">
        <v>910</v>
      </c>
      <c r="J320" s="232"/>
    </row>
    <row r="321" spans="1:10" ht="15.5">
      <c r="A321" s="268">
        <v>45700</v>
      </c>
      <c r="B321" s="222" t="s">
        <v>198</v>
      </c>
      <c r="C321" s="351" t="s">
        <v>121</v>
      </c>
      <c r="D321" s="351" t="s">
        <v>188</v>
      </c>
      <c r="E321" s="350">
        <v>1980</v>
      </c>
      <c r="F321" s="350"/>
      <c r="G321" s="256">
        <f t="shared" si="12"/>
        <v>124480</v>
      </c>
      <c r="H321" s="352" t="s">
        <v>199</v>
      </c>
      <c r="I321" s="224" t="s">
        <v>663</v>
      </c>
      <c r="J321" s="232"/>
    </row>
    <row r="322" spans="1:10" ht="15.5">
      <c r="A322" s="268">
        <v>45700</v>
      </c>
      <c r="B322" s="351" t="s">
        <v>665</v>
      </c>
      <c r="C322" s="351" t="s">
        <v>120</v>
      </c>
      <c r="D322" s="351" t="s">
        <v>263</v>
      </c>
      <c r="E322" s="350">
        <v>80000</v>
      </c>
      <c r="F322" s="350"/>
      <c r="G322" s="256">
        <f t="shared" si="12"/>
        <v>204480</v>
      </c>
      <c r="H322" s="352" t="s">
        <v>199</v>
      </c>
      <c r="I322" s="224" t="s">
        <v>666</v>
      </c>
      <c r="J322" s="232"/>
    </row>
    <row r="323" spans="1:10" ht="15.5">
      <c r="A323" s="268">
        <v>45700</v>
      </c>
      <c r="B323" s="222" t="s">
        <v>198</v>
      </c>
      <c r="C323" s="351" t="s">
        <v>121</v>
      </c>
      <c r="D323" s="351" t="s">
        <v>188</v>
      </c>
      <c r="E323" s="350"/>
      <c r="F323" s="350">
        <v>1980</v>
      </c>
      <c r="G323" s="256">
        <f t="shared" si="12"/>
        <v>202500</v>
      </c>
      <c r="H323" s="352" t="s">
        <v>199</v>
      </c>
      <c r="I323" s="224" t="s">
        <v>663</v>
      </c>
      <c r="J323" s="232"/>
    </row>
    <row r="324" spans="1:10" ht="15.5">
      <c r="A324" s="268">
        <v>45700</v>
      </c>
      <c r="B324" s="351" t="s">
        <v>665</v>
      </c>
      <c r="C324" s="351" t="s">
        <v>120</v>
      </c>
      <c r="D324" s="351" t="s">
        <v>263</v>
      </c>
      <c r="E324" s="350"/>
      <c r="F324" s="350">
        <v>80000</v>
      </c>
      <c r="G324" s="256">
        <f t="shared" si="12"/>
        <v>122500</v>
      </c>
      <c r="H324" s="352" t="s">
        <v>199</v>
      </c>
      <c r="I324" s="224" t="s">
        <v>666</v>
      </c>
      <c r="J324" s="232"/>
    </row>
    <row r="325" spans="1:10" ht="15.5">
      <c r="A325" s="268">
        <v>45701</v>
      </c>
      <c r="B325" s="77" t="s">
        <v>911</v>
      </c>
      <c r="C325" s="77" t="s">
        <v>482</v>
      </c>
      <c r="D325" s="77" t="s">
        <v>183</v>
      </c>
      <c r="E325" s="256"/>
      <c r="F325" s="274">
        <v>20000</v>
      </c>
      <c r="G325" s="256">
        <f t="shared" si="12"/>
        <v>102500</v>
      </c>
      <c r="H325" s="77" t="s">
        <v>199</v>
      </c>
      <c r="I325" s="77" t="s">
        <v>912</v>
      </c>
      <c r="J325" s="232"/>
    </row>
    <row r="326" spans="1:10" ht="15.5">
      <c r="A326" s="268">
        <v>45701</v>
      </c>
      <c r="B326" s="77" t="s">
        <v>913</v>
      </c>
      <c r="C326" s="77" t="s">
        <v>120</v>
      </c>
      <c r="D326" s="351" t="s">
        <v>179</v>
      </c>
      <c r="E326" s="256"/>
      <c r="F326" s="274">
        <v>4000</v>
      </c>
      <c r="G326" s="256">
        <f t="shared" si="12"/>
        <v>98500</v>
      </c>
      <c r="H326" s="77" t="s">
        <v>199</v>
      </c>
      <c r="I326" s="77" t="s">
        <v>914</v>
      </c>
      <c r="J326" s="232"/>
    </row>
    <row r="327" spans="1:10" ht="15.5">
      <c r="A327" s="268">
        <v>45702</v>
      </c>
      <c r="B327" s="77" t="s">
        <v>915</v>
      </c>
      <c r="C327" s="77" t="s">
        <v>120</v>
      </c>
      <c r="D327" s="77" t="s">
        <v>297</v>
      </c>
      <c r="E327" s="256"/>
      <c r="F327" s="274">
        <v>20000</v>
      </c>
      <c r="G327" s="256">
        <f t="shared" si="12"/>
        <v>78500</v>
      </c>
      <c r="H327" s="77" t="s">
        <v>199</v>
      </c>
      <c r="I327" s="77" t="s">
        <v>916</v>
      </c>
      <c r="J327" s="232"/>
    </row>
    <row r="328" spans="1:10" ht="15.5">
      <c r="A328" s="268">
        <v>45703</v>
      </c>
      <c r="B328" s="77" t="s">
        <v>917</v>
      </c>
      <c r="C328" s="77" t="s">
        <v>120</v>
      </c>
      <c r="D328" s="77" t="s">
        <v>183</v>
      </c>
      <c r="E328" s="256"/>
      <c r="F328" s="274">
        <v>30000</v>
      </c>
      <c r="G328" s="256">
        <f t="shared" si="12"/>
        <v>48500</v>
      </c>
      <c r="H328" s="77" t="s">
        <v>199</v>
      </c>
      <c r="I328" s="77" t="s">
        <v>918</v>
      </c>
      <c r="J328" s="232"/>
    </row>
    <row r="329" spans="1:10" ht="15.5">
      <c r="A329" s="268">
        <v>45703</v>
      </c>
      <c r="B329" s="77" t="s">
        <v>919</v>
      </c>
      <c r="C329" s="77" t="s">
        <v>120</v>
      </c>
      <c r="D329" s="258" t="s">
        <v>179</v>
      </c>
      <c r="E329" s="256"/>
      <c r="F329" s="274">
        <v>4000</v>
      </c>
      <c r="G329" s="256">
        <f t="shared" si="12"/>
        <v>44500</v>
      </c>
      <c r="H329" s="77" t="s">
        <v>199</v>
      </c>
      <c r="I329" s="77" t="s">
        <v>920</v>
      </c>
      <c r="J329" s="232"/>
    </row>
    <row r="330" spans="1:10" ht="15.5">
      <c r="A330" s="268">
        <v>45703</v>
      </c>
      <c r="B330" s="77" t="s">
        <v>921</v>
      </c>
      <c r="C330" s="77" t="s">
        <v>120</v>
      </c>
      <c r="D330" s="77" t="s">
        <v>179</v>
      </c>
      <c r="E330" s="256"/>
      <c r="F330" s="274">
        <v>7000</v>
      </c>
      <c r="G330" s="256">
        <f t="shared" si="12"/>
        <v>37500</v>
      </c>
      <c r="H330" s="77" t="s">
        <v>199</v>
      </c>
      <c r="I330" s="77" t="s">
        <v>922</v>
      </c>
      <c r="J330" s="232"/>
    </row>
    <row r="331" spans="1:10" ht="15.5">
      <c r="A331" s="268">
        <v>45706</v>
      </c>
      <c r="B331" s="222" t="s">
        <v>704</v>
      </c>
      <c r="C331" s="222" t="s">
        <v>120</v>
      </c>
      <c r="D331" s="222" t="s">
        <v>263</v>
      </c>
      <c r="E331" s="350">
        <v>70000</v>
      </c>
      <c r="F331" s="350"/>
      <c r="G331" s="256">
        <f t="shared" si="12"/>
        <v>107500</v>
      </c>
      <c r="H331" s="352" t="s">
        <v>199</v>
      </c>
      <c r="I331" s="224" t="s">
        <v>705</v>
      </c>
      <c r="J331" s="232"/>
    </row>
    <row r="332" spans="1:10" ht="15.5">
      <c r="A332" s="268">
        <v>45706</v>
      </c>
      <c r="B332" s="222" t="s">
        <v>704</v>
      </c>
      <c r="C332" s="222" t="s">
        <v>120</v>
      </c>
      <c r="D332" s="222" t="s">
        <v>263</v>
      </c>
      <c r="E332" s="350"/>
      <c r="F332" s="350">
        <v>70000</v>
      </c>
      <c r="G332" s="256">
        <f t="shared" si="12"/>
        <v>37500</v>
      </c>
      <c r="H332" s="352" t="s">
        <v>199</v>
      </c>
      <c r="I332" s="224" t="s">
        <v>705</v>
      </c>
      <c r="J332" s="232"/>
    </row>
    <row r="333" spans="1:10" ht="15.5">
      <c r="A333" s="268">
        <v>45709</v>
      </c>
      <c r="B333" s="348" t="s">
        <v>718</v>
      </c>
      <c r="C333" s="348" t="s">
        <v>121</v>
      </c>
      <c r="D333" s="348" t="s">
        <v>188</v>
      </c>
      <c r="E333" s="350">
        <v>13615</v>
      </c>
      <c r="F333" s="350"/>
      <c r="G333" s="256">
        <f t="shared" si="12"/>
        <v>51115</v>
      </c>
      <c r="H333" s="352" t="s">
        <v>199</v>
      </c>
      <c r="I333" s="224" t="s">
        <v>719</v>
      </c>
      <c r="J333" s="232"/>
    </row>
    <row r="334" spans="1:10" ht="15.5">
      <c r="A334" s="268">
        <v>45709</v>
      </c>
      <c r="B334" s="222" t="s">
        <v>681</v>
      </c>
      <c r="C334" s="222" t="s">
        <v>121</v>
      </c>
      <c r="D334" s="222" t="s">
        <v>188</v>
      </c>
      <c r="E334" s="350">
        <v>14700</v>
      </c>
      <c r="F334" s="350"/>
      <c r="G334" s="256">
        <f t="shared" si="12"/>
        <v>65815</v>
      </c>
      <c r="H334" s="222" t="s">
        <v>199</v>
      </c>
      <c r="I334" s="224" t="s">
        <v>727</v>
      </c>
      <c r="J334" s="232"/>
    </row>
    <row r="335" spans="1:10" ht="15.5">
      <c r="A335" s="268">
        <v>45709</v>
      </c>
      <c r="B335" s="348" t="s">
        <v>718</v>
      </c>
      <c r="C335" s="222" t="s">
        <v>121</v>
      </c>
      <c r="D335" s="348" t="s">
        <v>188</v>
      </c>
      <c r="E335" s="350"/>
      <c r="F335" s="350">
        <v>13615</v>
      </c>
      <c r="G335" s="256">
        <f t="shared" si="12"/>
        <v>52200</v>
      </c>
      <c r="H335" s="352" t="s">
        <v>199</v>
      </c>
      <c r="I335" s="224" t="s">
        <v>719</v>
      </c>
      <c r="J335" s="232"/>
    </row>
    <row r="336" spans="1:10" ht="15.5">
      <c r="A336" s="268">
        <v>45709</v>
      </c>
      <c r="B336" s="222" t="s">
        <v>681</v>
      </c>
      <c r="C336" s="222" t="s">
        <v>121</v>
      </c>
      <c r="D336" s="222" t="s">
        <v>188</v>
      </c>
      <c r="E336" s="350"/>
      <c r="F336" s="350">
        <v>14700</v>
      </c>
      <c r="G336" s="256">
        <f t="shared" si="12"/>
        <v>37500</v>
      </c>
      <c r="H336" s="222" t="s">
        <v>199</v>
      </c>
      <c r="I336" s="224" t="s">
        <v>727</v>
      </c>
      <c r="J336" s="232"/>
    </row>
    <row r="337" spans="1:10" ht="15.5">
      <c r="A337" s="268">
        <v>45712</v>
      </c>
      <c r="B337" s="222" t="s">
        <v>736</v>
      </c>
      <c r="C337" s="222" t="s">
        <v>121</v>
      </c>
      <c r="D337" s="222" t="s">
        <v>188</v>
      </c>
      <c r="E337" s="350">
        <v>8100</v>
      </c>
      <c r="F337" s="350"/>
      <c r="G337" s="256">
        <f t="shared" si="12"/>
        <v>45600</v>
      </c>
      <c r="H337" s="222" t="s">
        <v>199</v>
      </c>
      <c r="I337" s="224" t="s">
        <v>737</v>
      </c>
      <c r="J337" s="232"/>
    </row>
    <row r="338" spans="1:10" ht="15.5">
      <c r="A338" s="268">
        <v>45712</v>
      </c>
      <c r="B338" s="222" t="s">
        <v>736</v>
      </c>
      <c r="C338" s="222" t="s">
        <v>121</v>
      </c>
      <c r="D338" s="222" t="s">
        <v>188</v>
      </c>
      <c r="E338" s="350"/>
      <c r="F338" s="350">
        <v>8100</v>
      </c>
      <c r="G338" s="256">
        <f t="shared" si="12"/>
        <v>37500</v>
      </c>
      <c r="H338" s="222" t="s">
        <v>199</v>
      </c>
      <c r="I338" s="224" t="s">
        <v>737</v>
      </c>
      <c r="J338" s="232"/>
    </row>
    <row r="339" spans="1:10" ht="15.5">
      <c r="A339" s="268">
        <v>45715</v>
      </c>
      <c r="B339" s="77" t="s">
        <v>923</v>
      </c>
      <c r="C339" s="77" t="s">
        <v>120</v>
      </c>
      <c r="D339" s="77" t="s">
        <v>179</v>
      </c>
      <c r="E339" s="256"/>
      <c r="F339" s="274">
        <v>26900</v>
      </c>
      <c r="G339" s="256">
        <f t="shared" si="12"/>
        <v>10600</v>
      </c>
      <c r="H339" s="77" t="s">
        <v>199</v>
      </c>
      <c r="I339" s="77" t="s">
        <v>924</v>
      </c>
      <c r="J339" s="232"/>
    </row>
    <row r="340" spans="1:10" ht="15.5">
      <c r="A340" s="268">
        <v>45715</v>
      </c>
      <c r="B340" s="77" t="s">
        <v>759</v>
      </c>
      <c r="C340" s="222" t="s">
        <v>121</v>
      </c>
      <c r="D340" s="222" t="s">
        <v>188</v>
      </c>
      <c r="E340" s="360">
        <v>560</v>
      </c>
      <c r="F340" s="360"/>
      <c r="G340" s="256">
        <f t="shared" si="12"/>
        <v>11160</v>
      </c>
      <c r="H340" s="77" t="s">
        <v>199</v>
      </c>
      <c r="I340" s="224" t="s">
        <v>760</v>
      </c>
      <c r="J340" s="232"/>
    </row>
    <row r="341" spans="1:10" ht="15.5">
      <c r="A341" s="268">
        <v>45715</v>
      </c>
      <c r="B341" s="77" t="s">
        <v>759</v>
      </c>
      <c r="C341" s="222" t="s">
        <v>121</v>
      </c>
      <c r="D341" s="222" t="s">
        <v>188</v>
      </c>
      <c r="E341" s="360"/>
      <c r="F341" s="360">
        <v>560</v>
      </c>
      <c r="G341" s="256">
        <f t="shared" si="12"/>
        <v>10600</v>
      </c>
      <c r="H341" s="77" t="s">
        <v>199</v>
      </c>
      <c r="I341" s="224" t="s">
        <v>760</v>
      </c>
      <c r="J341" s="232"/>
    </row>
    <row r="342" spans="1:10" ht="15.5">
      <c r="A342" s="281"/>
      <c r="C342" s="285"/>
      <c r="D342"/>
      <c r="E342" s="299">
        <f>SUM(E309:E341)</f>
        <v>381785</v>
      </c>
      <c r="F342" s="300">
        <f>SUM(F309:F341)</f>
        <v>383685</v>
      </c>
      <c r="G342" s="301">
        <f>+E342-F342+G309</f>
        <v>10600</v>
      </c>
      <c r="H342" s="232"/>
      <c r="I342" s="232"/>
      <c r="J342" s="232"/>
    </row>
    <row r="343" spans="1:10" ht="15.5">
      <c r="A343" s="231"/>
      <c r="B343" s="232"/>
      <c r="C343" s="233" t="s">
        <v>934</v>
      </c>
      <c r="D343" s="232"/>
      <c r="E343" s="234"/>
      <c r="F343" s="234"/>
      <c r="G343" s="235"/>
      <c r="H343" s="232"/>
      <c r="I343" s="232"/>
      <c r="J343" s="232"/>
    </row>
    <row r="344" spans="1:10" ht="15.5">
      <c r="A344" s="231"/>
      <c r="B344" s="232"/>
      <c r="C344" s="232"/>
      <c r="D344" s="232"/>
      <c r="E344" s="234"/>
      <c r="F344" s="234"/>
      <c r="G344" s="235"/>
      <c r="H344" s="232"/>
      <c r="I344" s="232"/>
      <c r="J344" s="232"/>
    </row>
    <row r="345" spans="1:10" ht="15.5">
      <c r="A345" s="236" t="s">
        <v>0</v>
      </c>
      <c r="B345" s="237" t="s">
        <v>458</v>
      </c>
      <c r="C345" s="237" t="s">
        <v>459</v>
      </c>
      <c r="D345" s="237" t="s">
        <v>460</v>
      </c>
      <c r="E345" s="238" t="s">
        <v>461</v>
      </c>
      <c r="F345" s="238" t="s">
        <v>462</v>
      </c>
      <c r="G345" s="248" t="s">
        <v>483</v>
      </c>
      <c r="H345" s="237" t="s">
        <v>463</v>
      </c>
      <c r="I345" s="237" t="s">
        <v>464</v>
      </c>
      <c r="J345" s="240"/>
    </row>
    <row r="346" spans="1:10" ht="15.5">
      <c r="A346" s="286">
        <v>45689</v>
      </c>
      <c r="B346" s="287" t="s">
        <v>600</v>
      </c>
      <c r="C346" s="287"/>
      <c r="D346" s="287"/>
      <c r="E346" s="288"/>
      <c r="F346" s="288"/>
      <c r="G346" s="289">
        <v>8130</v>
      </c>
      <c r="H346" s="287" t="s">
        <v>203</v>
      </c>
      <c r="I346" s="287"/>
      <c r="J346" s="232"/>
    </row>
    <row r="347" spans="1:10" ht="15.5">
      <c r="A347" s="231"/>
      <c r="B347" s="232"/>
      <c r="C347" s="232"/>
      <c r="D347" s="232"/>
      <c r="E347" s="234">
        <f>+E346</f>
        <v>0</v>
      </c>
      <c r="F347" s="234">
        <f>+F346</f>
        <v>0</v>
      </c>
      <c r="G347" s="253">
        <f>+E347-F347+G346</f>
        <v>8130</v>
      </c>
      <c r="H347" s="232"/>
      <c r="I347" s="232"/>
      <c r="J347" s="232"/>
    </row>
    <row r="348" spans="1:10" ht="15.5">
      <c r="A348" s="231"/>
      <c r="B348" s="232"/>
      <c r="C348" s="233" t="s">
        <v>484</v>
      </c>
      <c r="D348" s="232"/>
      <c r="E348" s="234"/>
      <c r="F348" s="234"/>
      <c r="G348" s="235"/>
      <c r="H348" s="232"/>
      <c r="I348" s="232"/>
      <c r="J348" s="232"/>
    </row>
    <row r="349" spans="1:10" ht="15.5">
      <c r="A349" s="231"/>
      <c r="B349" s="232"/>
      <c r="C349" s="232"/>
      <c r="D349" s="232"/>
      <c r="E349" s="234"/>
      <c r="F349" s="234"/>
      <c r="G349" s="235"/>
      <c r="H349" s="232"/>
      <c r="I349" s="232"/>
      <c r="J349" s="232"/>
    </row>
    <row r="350" spans="1:10" ht="15.5">
      <c r="A350" s="236" t="s">
        <v>0</v>
      </c>
      <c r="B350" s="237" t="s">
        <v>458</v>
      </c>
      <c r="C350" s="237" t="s">
        <v>460</v>
      </c>
      <c r="D350" s="237" t="s">
        <v>459</v>
      </c>
      <c r="E350" s="238" t="s">
        <v>461</v>
      </c>
      <c r="F350" s="238" t="s">
        <v>462</v>
      </c>
      <c r="G350" s="248" t="s">
        <v>30</v>
      </c>
      <c r="H350" s="237" t="s">
        <v>463</v>
      </c>
      <c r="I350" s="237" t="s">
        <v>464</v>
      </c>
      <c r="J350" s="240"/>
    </row>
    <row r="351" spans="1:10" ht="15.5">
      <c r="A351" s="268">
        <v>45689</v>
      </c>
      <c r="B351" s="77" t="s">
        <v>530</v>
      </c>
      <c r="C351" s="291"/>
      <c r="D351" s="290" t="s">
        <v>127</v>
      </c>
      <c r="E351" s="258"/>
      <c r="F351" s="258"/>
      <c r="G351" s="389">
        <v>9000</v>
      </c>
      <c r="H351" s="77" t="s">
        <v>220</v>
      </c>
      <c r="I351" s="77"/>
      <c r="J351" s="232"/>
    </row>
    <row r="352" spans="1:10" ht="15.5">
      <c r="A352" s="268">
        <v>45695</v>
      </c>
      <c r="B352" s="348" t="s">
        <v>549</v>
      </c>
      <c r="C352" s="349" t="s">
        <v>123</v>
      </c>
      <c r="D352" s="349" t="s">
        <v>325</v>
      </c>
      <c r="E352" s="350">
        <v>148000</v>
      </c>
      <c r="F352" s="350"/>
      <c r="G352" s="389">
        <f t="shared" ref="G352:G369" si="13">+G351+E352-F352</f>
        <v>157000</v>
      </c>
      <c r="H352" s="348" t="s">
        <v>220</v>
      </c>
      <c r="I352" s="222" t="s">
        <v>550</v>
      </c>
      <c r="J352" s="232"/>
    </row>
    <row r="353" spans="1:10" ht="15.5">
      <c r="A353" s="268">
        <v>45695</v>
      </c>
      <c r="B353" s="348" t="s">
        <v>549</v>
      </c>
      <c r="C353" s="349" t="s">
        <v>123</v>
      </c>
      <c r="D353" s="349" t="s">
        <v>325</v>
      </c>
      <c r="E353" s="350"/>
      <c r="F353" s="350">
        <v>148000</v>
      </c>
      <c r="G353" s="389">
        <f t="shared" si="13"/>
        <v>9000</v>
      </c>
      <c r="H353" s="348" t="s">
        <v>220</v>
      </c>
      <c r="I353" s="222" t="s">
        <v>550</v>
      </c>
      <c r="J353" s="232"/>
    </row>
    <row r="354" spans="1:10" ht="15.5">
      <c r="A354" s="268">
        <v>45701</v>
      </c>
      <c r="B354" s="77" t="s">
        <v>531</v>
      </c>
      <c r="C354" s="291"/>
      <c r="D354" s="290" t="s">
        <v>127</v>
      </c>
      <c r="E354" s="258">
        <v>20000</v>
      </c>
      <c r="F354" s="258"/>
      <c r="G354" s="389">
        <f t="shared" si="13"/>
        <v>29000</v>
      </c>
      <c r="H354" s="77" t="s">
        <v>220</v>
      </c>
      <c r="I354" s="77" t="s">
        <v>532</v>
      </c>
      <c r="J354" s="232"/>
    </row>
    <row r="355" spans="1:10" ht="15.5">
      <c r="A355" s="268">
        <v>45701</v>
      </c>
      <c r="B355" s="351" t="s">
        <v>551</v>
      </c>
      <c r="C355" s="349" t="s">
        <v>123</v>
      </c>
      <c r="D355" s="349" t="s">
        <v>325</v>
      </c>
      <c r="E355" s="350">
        <v>154000</v>
      </c>
      <c r="F355" s="350"/>
      <c r="G355" s="389">
        <f t="shared" si="13"/>
        <v>183000</v>
      </c>
      <c r="H355" s="352" t="s">
        <v>220</v>
      </c>
      <c r="I355" s="222" t="s">
        <v>552</v>
      </c>
      <c r="J355" s="232"/>
    </row>
    <row r="356" spans="1:10" ht="15.5">
      <c r="A356" s="268">
        <v>45701</v>
      </c>
      <c r="B356" s="351" t="s">
        <v>551</v>
      </c>
      <c r="C356" s="349" t="s">
        <v>123</v>
      </c>
      <c r="D356" s="349" t="s">
        <v>325</v>
      </c>
      <c r="E356" s="350"/>
      <c r="F356" s="350">
        <v>154000</v>
      </c>
      <c r="G356" s="389">
        <f t="shared" si="13"/>
        <v>29000</v>
      </c>
      <c r="H356" s="352" t="s">
        <v>220</v>
      </c>
      <c r="I356" s="222" t="s">
        <v>552</v>
      </c>
      <c r="J356" s="232"/>
    </row>
    <row r="357" spans="1:10" ht="15.5">
      <c r="A357" s="268">
        <v>45702</v>
      </c>
      <c r="B357" s="77" t="s">
        <v>531</v>
      </c>
      <c r="C357" s="291"/>
      <c r="D357" s="290" t="s">
        <v>127</v>
      </c>
      <c r="E357" s="258">
        <v>134000</v>
      </c>
      <c r="F357" s="258"/>
      <c r="G357" s="389">
        <f t="shared" si="13"/>
        <v>163000</v>
      </c>
      <c r="H357" s="77" t="s">
        <v>220</v>
      </c>
      <c r="I357" s="77" t="s">
        <v>533</v>
      </c>
      <c r="J357" s="232"/>
    </row>
    <row r="358" spans="1:10" ht="15.5">
      <c r="A358" s="268">
        <v>45702</v>
      </c>
      <c r="B358" s="77" t="s">
        <v>534</v>
      </c>
      <c r="C358" s="291" t="s">
        <v>123</v>
      </c>
      <c r="D358" s="290" t="s">
        <v>179</v>
      </c>
      <c r="E358" s="258"/>
      <c r="F358" s="258">
        <v>7000</v>
      </c>
      <c r="G358" s="389">
        <f t="shared" si="13"/>
        <v>156000</v>
      </c>
      <c r="H358" s="77" t="s">
        <v>220</v>
      </c>
      <c r="I358" s="77" t="s">
        <v>535</v>
      </c>
      <c r="J358" s="232"/>
    </row>
    <row r="359" spans="1:10" ht="15.5">
      <c r="A359" s="268">
        <v>45703</v>
      </c>
      <c r="B359" s="77" t="s">
        <v>536</v>
      </c>
      <c r="C359" s="291" t="s">
        <v>123</v>
      </c>
      <c r="D359" s="290" t="s">
        <v>183</v>
      </c>
      <c r="E359" s="258"/>
      <c r="F359" s="258">
        <v>130000</v>
      </c>
      <c r="G359" s="389">
        <f t="shared" si="13"/>
        <v>26000</v>
      </c>
      <c r="H359" s="77" t="s">
        <v>220</v>
      </c>
      <c r="I359" s="77" t="s">
        <v>537</v>
      </c>
      <c r="J359" s="232"/>
    </row>
    <row r="360" spans="1:10" ht="15.5">
      <c r="A360" s="268">
        <v>45707</v>
      </c>
      <c r="B360" s="77" t="s">
        <v>531</v>
      </c>
      <c r="C360" s="291"/>
      <c r="D360" s="290" t="s">
        <v>127</v>
      </c>
      <c r="E360" s="258">
        <v>75000</v>
      </c>
      <c r="F360" s="258"/>
      <c r="G360" s="389">
        <f t="shared" si="13"/>
        <v>101000</v>
      </c>
      <c r="H360" s="77" t="s">
        <v>220</v>
      </c>
      <c r="I360" s="77" t="s">
        <v>538</v>
      </c>
      <c r="J360" s="232"/>
    </row>
    <row r="361" spans="1:10" ht="15.5">
      <c r="A361" s="268">
        <v>45710</v>
      </c>
      <c r="B361" s="77" t="s">
        <v>531</v>
      </c>
      <c r="C361" s="291"/>
      <c r="D361" s="290" t="s">
        <v>127</v>
      </c>
      <c r="E361" s="258">
        <v>75000</v>
      </c>
      <c r="F361" s="258"/>
      <c r="G361" s="389">
        <f t="shared" si="13"/>
        <v>176000</v>
      </c>
      <c r="H361" s="77" t="s">
        <v>220</v>
      </c>
      <c r="I361" s="77" t="s">
        <v>539</v>
      </c>
      <c r="J361" s="232"/>
    </row>
    <row r="362" spans="1:10" ht="15.5">
      <c r="A362" s="268">
        <v>45712</v>
      </c>
      <c r="B362" s="77" t="s">
        <v>269</v>
      </c>
      <c r="C362" s="291" t="s">
        <v>206</v>
      </c>
      <c r="D362" s="290" t="s">
        <v>183</v>
      </c>
      <c r="E362" s="258"/>
      <c r="F362" s="258">
        <v>9800</v>
      </c>
      <c r="G362" s="389">
        <f t="shared" si="13"/>
        <v>166200</v>
      </c>
      <c r="H362" s="77" t="s">
        <v>220</v>
      </c>
      <c r="I362" s="77" t="s">
        <v>540</v>
      </c>
      <c r="J362" s="232"/>
    </row>
    <row r="363" spans="1:10" ht="15.5">
      <c r="A363" s="268">
        <v>45713</v>
      </c>
      <c r="B363" s="77" t="s">
        <v>541</v>
      </c>
      <c r="C363" s="291" t="s">
        <v>123</v>
      </c>
      <c r="D363" s="290" t="s">
        <v>183</v>
      </c>
      <c r="E363" s="258"/>
      <c r="F363" s="258">
        <v>150000</v>
      </c>
      <c r="G363" s="389">
        <f t="shared" si="13"/>
        <v>16200</v>
      </c>
      <c r="H363" s="77" t="s">
        <v>220</v>
      </c>
      <c r="I363" s="77" t="s">
        <v>542</v>
      </c>
      <c r="J363" s="232"/>
    </row>
    <row r="364" spans="1:10" ht="15.5">
      <c r="A364" s="268">
        <v>45714</v>
      </c>
      <c r="B364" s="77" t="s">
        <v>531</v>
      </c>
      <c r="C364" s="291"/>
      <c r="D364" s="290" t="s">
        <v>127</v>
      </c>
      <c r="E364" s="258">
        <v>75000</v>
      </c>
      <c r="F364" s="258"/>
      <c r="G364" s="389">
        <f t="shared" si="13"/>
        <v>91200</v>
      </c>
      <c r="H364" s="77" t="s">
        <v>220</v>
      </c>
      <c r="I364" s="77" t="s">
        <v>543</v>
      </c>
      <c r="J364" s="232"/>
    </row>
    <row r="365" spans="1:10" ht="15.5">
      <c r="A365" s="268">
        <v>45716</v>
      </c>
      <c r="B365" s="77" t="s">
        <v>544</v>
      </c>
      <c r="C365" s="291" t="s">
        <v>123</v>
      </c>
      <c r="D365" s="290" t="s">
        <v>183</v>
      </c>
      <c r="E365" s="258"/>
      <c r="F365" s="258">
        <v>45000</v>
      </c>
      <c r="G365" s="389">
        <f t="shared" si="13"/>
        <v>46200</v>
      </c>
      <c r="H365" s="77" t="s">
        <v>220</v>
      </c>
      <c r="I365" s="77" t="s">
        <v>545</v>
      </c>
      <c r="J365" s="232"/>
    </row>
    <row r="366" spans="1:10" ht="15.5">
      <c r="A366" s="268">
        <v>45716</v>
      </c>
      <c r="B366" s="77" t="s">
        <v>282</v>
      </c>
      <c r="C366" s="291" t="s">
        <v>123</v>
      </c>
      <c r="D366" s="290" t="s">
        <v>179</v>
      </c>
      <c r="E366" s="258"/>
      <c r="F366" s="258">
        <v>7000</v>
      </c>
      <c r="G366" s="389">
        <f t="shared" si="13"/>
        <v>39200</v>
      </c>
      <c r="H366" s="77" t="s">
        <v>220</v>
      </c>
      <c r="I366" s="77" t="s">
        <v>546</v>
      </c>
      <c r="J366" s="232"/>
    </row>
    <row r="367" spans="1:10" ht="15.5">
      <c r="A367" s="268">
        <v>45716</v>
      </c>
      <c r="B367" s="77" t="s">
        <v>547</v>
      </c>
      <c r="C367" s="291" t="s">
        <v>123</v>
      </c>
      <c r="D367" s="290" t="s">
        <v>179</v>
      </c>
      <c r="E367" s="258"/>
      <c r="F367" s="258">
        <v>33500</v>
      </c>
      <c r="G367" s="389">
        <f t="shared" si="13"/>
        <v>5700</v>
      </c>
      <c r="H367" s="77" t="s">
        <v>220</v>
      </c>
      <c r="I367" s="77" t="s">
        <v>548</v>
      </c>
      <c r="J367" s="232"/>
    </row>
    <row r="368" spans="1:10" ht="15.5">
      <c r="A368" s="268">
        <v>45716</v>
      </c>
      <c r="B368" s="222" t="s">
        <v>553</v>
      </c>
      <c r="C368" s="349" t="s">
        <v>123</v>
      </c>
      <c r="D368" s="349" t="s">
        <v>325</v>
      </c>
      <c r="E368" s="350">
        <v>200000</v>
      </c>
      <c r="F368" s="350"/>
      <c r="G368" s="389">
        <f t="shared" si="13"/>
        <v>205700</v>
      </c>
      <c r="H368" s="222" t="s">
        <v>220</v>
      </c>
      <c r="I368" s="222" t="s">
        <v>554</v>
      </c>
      <c r="J368" s="232"/>
    </row>
    <row r="369" spans="1:10" ht="15.5">
      <c r="A369" s="268">
        <v>45716</v>
      </c>
      <c r="B369" s="222" t="s">
        <v>553</v>
      </c>
      <c r="C369" s="349" t="s">
        <v>123</v>
      </c>
      <c r="D369" s="349" t="s">
        <v>325</v>
      </c>
      <c r="E369" s="350"/>
      <c r="F369" s="350">
        <v>200000</v>
      </c>
      <c r="G369" s="389">
        <f t="shared" si="13"/>
        <v>5700</v>
      </c>
      <c r="H369" s="222" t="s">
        <v>220</v>
      </c>
      <c r="I369" s="222" t="s">
        <v>554</v>
      </c>
      <c r="J369" s="232"/>
    </row>
    <row r="370" spans="1:10" ht="15.5">
      <c r="A370" s="231"/>
      <c r="B370" s="232"/>
      <c r="C370" s="232"/>
      <c r="D370" s="232"/>
      <c r="E370" s="297">
        <f>SUM(E351:E369)</f>
        <v>881000</v>
      </c>
      <c r="F370" s="297">
        <f>SUM(F351:F369)</f>
        <v>884300</v>
      </c>
      <c r="G370" s="253">
        <f>+E370-F370+G351</f>
        <v>5700</v>
      </c>
      <c r="H370" s="232"/>
      <c r="I370" s="232"/>
      <c r="J370" s="232"/>
    </row>
    <row r="371" spans="1:10" ht="15.5">
      <c r="A371" s="231"/>
      <c r="B371" s="232"/>
      <c r="C371" s="232"/>
      <c r="D371" s="232"/>
      <c r="E371" s="234"/>
      <c r="F371" s="234"/>
      <c r="G371" s="235"/>
      <c r="H371" s="232"/>
      <c r="I371" s="232"/>
      <c r="J371" s="232"/>
    </row>
    <row r="372" spans="1:10" ht="15.5">
      <c r="A372" s="231"/>
      <c r="B372" s="232"/>
      <c r="C372" s="232"/>
      <c r="D372" s="232"/>
      <c r="E372" s="234"/>
      <c r="F372" s="234"/>
      <c r="G372" s="235"/>
      <c r="H372" s="232"/>
      <c r="I372" s="232"/>
      <c r="J372" s="232"/>
    </row>
  </sheetData>
  <mergeCells count="2">
    <mergeCell ref="A123:D123"/>
    <mergeCell ref="B306:E306"/>
  </mergeCells>
  <dataValidations count="1">
    <dataValidation type="list" allowBlank="1" showInputMessage="1" showErrorMessage="1" sqref="D120 C82 D83 C119 C342"/>
  </dataValidations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'C:\Users\tiffa\OneDrive\Bureau\PALF IMPORTANT OK\Merveille Rapport financier\RAPPORT FINANCIER PALF\2025\Fevrier 2025\[Fichier comptable-Juriste Abraham Février 2025.xlsx]Feuil1'!#REF!</xm:f>
          </x14:formula1>
          <xm:sqref>D296:D301 D288 D294</xm:sqref>
        </x14:dataValidation>
        <x14:dataValidation type="list" allowBlank="1" showInputMessage="1" showErrorMessage="1">
          <x14:formula1>
            <xm:f>'C:\Users\tiffa\OneDrive\Bureau\PALF IMPORTANT OK\Merveille Rapport financier\RAPPORT FINANCIER PALF\2025\Fevrier 2025\[Fichier comptable-Juriste Février Roderlin.xlsx]Feuil1'!#REF!</xm:f>
          </x14:formula1>
          <xm:sqref>D319:D320 D311:D314</xm:sqref>
        </x14:dataValidation>
        <x14:dataValidation type="list" allowBlank="1" showInputMessage="1" showErrorMessage="1">
          <x14:formula1>
            <xm:f>'C:\Users\tiffa\OneDrive\Bureau\PALF IMPORTANT OK\Merveille Rapport financier\RAPPORT FINANCIER PALF\2025\Fevrier 2025\[Fichier comptable-Juriste Abraham Février 2025.xlsx]Feuil1'!#REF!</xm:f>
          </x14:formula1>
          <xm:sqref>D302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topLeftCell="A17" workbookViewId="0">
      <selection activeCell="C20" sqref="C20"/>
    </sheetView>
  </sheetViews>
  <sheetFormatPr baseColWidth="10" defaultColWidth="8.75" defaultRowHeight="14"/>
  <cols>
    <col min="1" max="1" width="13.1640625" customWidth="1"/>
    <col min="2" max="2" width="6.25" customWidth="1"/>
    <col min="3" max="3" width="51.83203125" customWidth="1"/>
    <col min="4" max="5" width="18.25" customWidth="1"/>
  </cols>
  <sheetData>
    <row r="1" spans="1:5">
      <c r="A1" s="91" t="s">
        <v>32</v>
      </c>
      <c r="B1" s="92"/>
      <c r="C1" s="92"/>
      <c r="D1" s="92"/>
      <c r="E1" s="92"/>
    </row>
    <row r="2" spans="1:5">
      <c r="A2" s="93" t="s">
        <v>33</v>
      </c>
      <c r="B2" s="93" t="s">
        <v>100</v>
      </c>
      <c r="C2" s="93"/>
      <c r="D2" s="94"/>
      <c r="E2" s="93"/>
    </row>
    <row r="3" spans="1:5">
      <c r="A3" s="93" t="s">
        <v>34</v>
      </c>
      <c r="B3" s="200">
        <v>45689</v>
      </c>
      <c r="C3" s="95"/>
      <c r="D3" s="93"/>
      <c r="E3" s="93"/>
    </row>
    <row r="4" spans="1:5">
      <c r="A4" s="93"/>
      <c r="B4" s="93"/>
      <c r="C4" s="93"/>
      <c r="D4" s="93"/>
      <c r="E4" s="93"/>
    </row>
    <row r="5" spans="1:5">
      <c r="A5" s="93" t="s">
        <v>35</v>
      </c>
      <c r="B5" s="93"/>
      <c r="C5" s="93"/>
      <c r="D5" s="93"/>
      <c r="E5" s="93"/>
    </row>
    <row r="6" spans="1:5" ht="14.5" thickBot="1">
      <c r="A6" s="97" t="s">
        <v>54</v>
      </c>
      <c r="B6" s="97"/>
      <c r="C6" s="97"/>
      <c r="D6" s="97"/>
      <c r="E6" s="97"/>
    </row>
    <row r="7" spans="1:5" ht="14.5" thickBot="1">
      <c r="A7" s="399" t="s">
        <v>36</v>
      </c>
      <c r="B7" s="400"/>
      <c r="C7" s="400"/>
      <c r="D7" s="400"/>
      <c r="E7" s="401"/>
    </row>
    <row r="8" spans="1:5" ht="14.5" thickBot="1">
      <c r="A8" s="98"/>
      <c r="B8" s="99"/>
      <c r="C8" s="99"/>
      <c r="D8" s="100"/>
      <c r="E8" s="101"/>
    </row>
    <row r="9" spans="1:5">
      <c r="A9" s="102" t="s">
        <v>0</v>
      </c>
      <c r="B9" s="103" t="s">
        <v>37</v>
      </c>
      <c r="C9" s="104" t="s">
        <v>38</v>
      </c>
      <c r="D9" s="105" t="s">
        <v>39</v>
      </c>
      <c r="E9" s="106" t="s">
        <v>40</v>
      </c>
    </row>
    <row r="10" spans="1:5">
      <c r="A10" s="107"/>
      <c r="B10" s="108"/>
      <c r="C10" s="109" t="s">
        <v>41</v>
      </c>
      <c r="D10" s="110"/>
      <c r="E10" s="111"/>
    </row>
    <row r="11" spans="1:5">
      <c r="A11" s="201">
        <v>45689</v>
      </c>
      <c r="B11" s="325" t="s">
        <v>101</v>
      </c>
      <c r="C11" s="202" t="s">
        <v>510</v>
      </c>
      <c r="D11" s="326">
        <v>15124165</v>
      </c>
      <c r="E11" s="327"/>
    </row>
    <row r="12" spans="1:5">
      <c r="A12" s="201">
        <v>45692</v>
      </c>
      <c r="B12" s="325">
        <v>3654792</v>
      </c>
      <c r="C12" s="198" t="s">
        <v>103</v>
      </c>
      <c r="D12" s="329"/>
      <c r="E12" s="208">
        <v>260000</v>
      </c>
    </row>
    <row r="13" spans="1:5">
      <c r="A13" s="201">
        <v>45693</v>
      </c>
      <c r="B13" s="325">
        <v>3654782</v>
      </c>
      <c r="C13" s="334" t="s">
        <v>512</v>
      </c>
      <c r="D13" s="329"/>
      <c r="E13" s="208">
        <v>2000000</v>
      </c>
    </row>
    <row r="14" spans="1:5">
      <c r="A14" s="201">
        <v>45693</v>
      </c>
      <c r="B14" s="330">
        <v>3654789</v>
      </c>
      <c r="C14" s="198" t="s">
        <v>102</v>
      </c>
      <c r="D14" s="329"/>
      <c r="E14" s="208">
        <v>500000</v>
      </c>
    </row>
    <row r="15" spans="1:5">
      <c r="A15" s="201">
        <v>45699</v>
      </c>
      <c r="B15" s="325">
        <v>3654800</v>
      </c>
      <c r="C15" s="198" t="s">
        <v>515</v>
      </c>
      <c r="D15" s="329"/>
      <c r="E15" s="207">
        <v>200000</v>
      </c>
    </row>
    <row r="16" spans="1:5">
      <c r="A16" s="201">
        <v>45699</v>
      </c>
      <c r="B16" s="325">
        <v>3654801</v>
      </c>
      <c r="C16" s="334" t="s">
        <v>517</v>
      </c>
      <c r="D16" s="329"/>
      <c r="E16" s="207">
        <v>2000000</v>
      </c>
    </row>
    <row r="17" spans="1:5">
      <c r="A17" s="201">
        <v>45701</v>
      </c>
      <c r="B17" s="325">
        <v>3654799</v>
      </c>
      <c r="C17" s="203" t="s">
        <v>519</v>
      </c>
      <c r="D17" s="205"/>
      <c r="E17" s="207">
        <v>227686</v>
      </c>
    </row>
    <row r="18" spans="1:5">
      <c r="A18" s="201">
        <v>45705</v>
      </c>
      <c r="B18" s="197">
        <v>3654802</v>
      </c>
      <c r="C18" s="334" t="s">
        <v>521</v>
      </c>
      <c r="D18" s="205"/>
      <c r="E18" s="207">
        <v>2000000</v>
      </c>
    </row>
    <row r="19" spans="1:5">
      <c r="A19" s="201">
        <v>45714</v>
      </c>
      <c r="B19" s="197">
        <v>3654803</v>
      </c>
      <c r="C19" s="334" t="s">
        <v>525</v>
      </c>
      <c r="D19" s="205"/>
      <c r="E19" s="208">
        <v>2000000</v>
      </c>
    </row>
    <row r="20" spans="1:5" ht="14.5" thickBot="1">
      <c r="A20" s="201">
        <v>45714</v>
      </c>
      <c r="B20" s="197">
        <v>3654804</v>
      </c>
      <c r="C20" s="198" t="s">
        <v>523</v>
      </c>
      <c r="D20" s="208"/>
      <c r="E20" s="314">
        <v>500000</v>
      </c>
    </row>
    <row r="21" spans="1:5" ht="14.5" thickBot="1">
      <c r="A21" s="112"/>
      <c r="B21" s="113"/>
      <c r="C21" s="114" t="s">
        <v>42</v>
      </c>
      <c r="D21" s="115">
        <f>SUM(D10:D20)-SUM(E10:E20)</f>
        <v>5436479</v>
      </c>
      <c r="E21" s="116"/>
    </row>
    <row r="22" spans="1:5" ht="14.5" thickBot="1">
      <c r="A22" s="117"/>
      <c r="B22" s="118"/>
      <c r="C22" s="118"/>
      <c r="D22" s="118"/>
      <c r="E22" s="119"/>
    </row>
    <row r="23" spans="1:5">
      <c r="A23" s="96"/>
      <c r="B23" s="93"/>
      <c r="C23" s="93" t="s">
        <v>43</v>
      </c>
      <c r="D23" s="96"/>
      <c r="E23" s="96"/>
    </row>
    <row r="24" spans="1:5">
      <c r="A24" s="96"/>
      <c r="B24" s="93"/>
      <c r="C24" s="93"/>
      <c r="D24" s="96"/>
      <c r="E24" s="120"/>
    </row>
    <row r="25" spans="1:5">
      <c r="A25" s="121"/>
      <c r="B25" s="121"/>
      <c r="C25" s="122"/>
      <c r="D25" s="123"/>
      <c r="E25" s="124"/>
    </row>
    <row r="26" spans="1:5" ht="18">
      <c r="A26" s="125"/>
      <c r="B26" s="125"/>
      <c r="C26" s="126" t="s">
        <v>58</v>
      </c>
      <c r="D26" s="127"/>
      <c r="E26" s="127"/>
    </row>
    <row r="27" spans="1:5" ht="18.5" thickBot="1">
      <c r="A27" s="125"/>
      <c r="B27" s="125"/>
      <c r="C27" s="128"/>
      <c r="D27" s="127"/>
      <c r="E27" s="127"/>
    </row>
    <row r="28" spans="1:5">
      <c r="A28" s="125"/>
      <c r="B28" s="125"/>
      <c r="C28" s="402" t="s">
        <v>44</v>
      </c>
      <c r="D28" s="403"/>
      <c r="E28" s="404"/>
    </row>
    <row r="29" spans="1:5" ht="22.5" customHeight="1">
      <c r="A29" s="125"/>
      <c r="B29" s="125"/>
      <c r="C29" s="129" t="s">
        <v>98</v>
      </c>
      <c r="D29" s="405"/>
      <c r="E29" s="406"/>
    </row>
    <row r="30" spans="1:5">
      <c r="A30" s="130"/>
      <c r="B30" s="125"/>
      <c r="C30" s="131"/>
      <c r="D30" s="407"/>
      <c r="E30" s="408"/>
    </row>
    <row r="31" spans="1:5" ht="14.5" thickBot="1">
      <c r="A31" s="125"/>
      <c r="B31" s="125"/>
      <c r="C31" s="132" t="s">
        <v>99</v>
      </c>
      <c r="D31" s="409"/>
      <c r="E31" s="410"/>
    </row>
    <row r="32" spans="1:5" ht="14.5" thickBot="1">
      <c r="A32" s="125"/>
      <c r="B32" s="125"/>
      <c r="C32" s="125"/>
      <c r="D32" s="133"/>
      <c r="E32" s="133"/>
    </row>
    <row r="33" spans="1:5" ht="14.5" thickBot="1">
      <c r="A33" s="134" t="s">
        <v>0</v>
      </c>
      <c r="B33" s="135" t="s">
        <v>45</v>
      </c>
      <c r="C33" s="136" t="s">
        <v>1</v>
      </c>
      <c r="D33" s="137" t="s">
        <v>46</v>
      </c>
      <c r="E33" s="138"/>
    </row>
    <row r="34" spans="1:5">
      <c r="A34" s="139"/>
      <c r="B34" s="140"/>
      <c r="C34" s="141"/>
      <c r="D34" s="142"/>
      <c r="E34" s="143"/>
    </row>
    <row r="35" spans="1:5">
      <c r="A35" s="144"/>
      <c r="B35" s="145"/>
      <c r="C35" s="146" t="s">
        <v>55</v>
      </c>
      <c r="D35" s="143">
        <f>D21</f>
        <v>5436479</v>
      </c>
      <c r="E35" s="143"/>
    </row>
    <row r="36" spans="1:5">
      <c r="A36" s="144"/>
      <c r="B36" s="145"/>
      <c r="C36" s="147"/>
      <c r="D36" s="148"/>
      <c r="E36" s="143"/>
    </row>
    <row r="37" spans="1:5">
      <c r="A37" s="144"/>
      <c r="B37" s="145"/>
      <c r="C37" s="147" t="s">
        <v>47</v>
      </c>
      <c r="D37" s="148"/>
      <c r="E37" s="143"/>
    </row>
    <row r="38" spans="1:5">
      <c r="A38" s="144"/>
      <c r="B38" s="145"/>
      <c r="C38" s="146" t="s">
        <v>48</v>
      </c>
      <c r="D38" s="148"/>
      <c r="E38" s="143"/>
    </row>
    <row r="39" spans="1:5">
      <c r="A39" s="201">
        <v>45714</v>
      </c>
      <c r="B39" s="197">
        <v>3654804</v>
      </c>
      <c r="C39" s="198" t="s">
        <v>523</v>
      </c>
      <c r="D39" s="317">
        <v>500000</v>
      </c>
      <c r="E39" s="208"/>
    </row>
    <row r="40" spans="1:5">
      <c r="A40" s="324"/>
      <c r="B40" s="325"/>
      <c r="C40" s="328"/>
      <c r="D40" s="340"/>
      <c r="E40" s="208"/>
    </row>
    <row r="41" spans="1:5">
      <c r="A41" s="324"/>
      <c r="B41" s="341"/>
      <c r="C41" s="331"/>
      <c r="D41" s="340"/>
      <c r="E41" s="208"/>
    </row>
    <row r="42" spans="1:5">
      <c r="A42" s="144"/>
      <c r="B42" s="197"/>
      <c r="C42" s="147" t="s">
        <v>49</v>
      </c>
      <c r="D42" s="148"/>
      <c r="E42" s="143"/>
    </row>
    <row r="43" spans="1:5">
      <c r="A43" s="144"/>
      <c r="B43" s="145"/>
      <c r="C43" s="146" t="s">
        <v>50</v>
      </c>
      <c r="D43" s="148"/>
      <c r="E43" s="143"/>
    </row>
    <row r="44" spans="1:5">
      <c r="A44" s="201"/>
      <c r="B44" s="197"/>
      <c r="C44" s="203"/>
      <c r="D44" s="318"/>
      <c r="E44" s="206"/>
    </row>
    <row r="45" spans="1:5">
      <c r="A45" s="201"/>
      <c r="B45" s="197"/>
      <c r="C45" s="198"/>
      <c r="D45" s="319"/>
      <c r="E45" s="208"/>
    </row>
    <row r="46" spans="1:5">
      <c r="A46" s="201"/>
      <c r="B46" s="197"/>
      <c r="C46" s="203"/>
      <c r="D46" s="319"/>
      <c r="E46" s="208"/>
    </row>
    <row r="47" spans="1:5">
      <c r="A47" s="201"/>
      <c r="B47" s="197"/>
      <c r="C47" s="203"/>
      <c r="D47" s="318"/>
      <c r="E47" s="206"/>
    </row>
    <row r="48" spans="1:5">
      <c r="A48" s="149"/>
      <c r="B48" s="165"/>
      <c r="C48" s="147"/>
      <c r="D48" s="148"/>
      <c r="E48" s="143"/>
    </row>
    <row r="49" spans="1:5">
      <c r="A49" s="149"/>
      <c r="B49" s="165"/>
      <c r="C49" s="147"/>
      <c r="D49" s="148"/>
      <c r="E49" s="143"/>
    </row>
    <row r="50" spans="1:5">
      <c r="A50" s="150"/>
      <c r="B50" s="166"/>
      <c r="C50" s="151"/>
      <c r="D50" s="152"/>
      <c r="E50" s="143"/>
    </row>
    <row r="51" spans="1:5">
      <c r="A51" s="150"/>
      <c r="B51" s="166"/>
      <c r="C51" s="151"/>
      <c r="D51" s="152"/>
      <c r="E51" s="143"/>
    </row>
    <row r="52" spans="1:5" ht="14.5" thickBot="1">
      <c r="A52" s="153"/>
      <c r="B52" s="154"/>
      <c r="C52" s="151"/>
      <c r="D52" s="155"/>
      <c r="E52" s="143"/>
    </row>
    <row r="53" spans="1:5" ht="14.5" thickBot="1">
      <c r="A53" s="156">
        <v>45657</v>
      </c>
      <c r="B53" s="157"/>
      <c r="C53" s="158" t="s">
        <v>502</v>
      </c>
      <c r="D53" s="159">
        <f>SUM(D35:D52)</f>
        <v>5936479</v>
      </c>
      <c r="E53" s="160"/>
    </row>
    <row r="54" spans="1:5" ht="14.5" thickBot="1">
      <c r="A54" s="125"/>
      <c r="B54" s="125"/>
      <c r="C54" s="134" t="s">
        <v>51</v>
      </c>
      <c r="D54" s="159">
        <v>5936479</v>
      </c>
      <c r="E54" s="161"/>
    </row>
    <row r="55" spans="1:5" ht="14.5" thickBot="1">
      <c r="A55" s="125"/>
      <c r="B55" s="125"/>
      <c r="C55" s="125"/>
      <c r="D55" s="127"/>
      <c r="E55" s="162"/>
    </row>
    <row r="56" spans="1:5" ht="14.5" thickBot="1">
      <c r="A56" s="125"/>
      <c r="B56" s="125"/>
      <c r="C56" s="163" t="s">
        <v>52</v>
      </c>
      <c r="D56" s="164">
        <f>D53-D54</f>
        <v>0</v>
      </c>
      <c r="E56" s="143"/>
    </row>
    <row r="57" spans="1:5">
      <c r="A57" s="125"/>
      <c r="B57" s="125"/>
      <c r="C57" s="125" t="s">
        <v>53</v>
      </c>
      <c r="D57" s="127"/>
      <c r="E57" s="127"/>
    </row>
    <row r="58" spans="1:5">
      <c r="A58" s="167" t="s">
        <v>56</v>
      </c>
      <c r="B58" s="167"/>
      <c r="C58" s="167"/>
      <c r="D58" s="167" t="s">
        <v>57</v>
      </c>
    </row>
    <row r="64" spans="1:5">
      <c r="E64" s="312"/>
    </row>
    <row r="65" spans="5:5">
      <c r="E65" s="312"/>
    </row>
    <row r="66" spans="5:5">
      <c r="E66" s="312"/>
    </row>
    <row r="67" spans="5:5">
      <c r="E67" s="312"/>
    </row>
    <row r="68" spans="5:5">
      <c r="E68" s="312"/>
    </row>
    <row r="69" spans="5:5">
      <c r="E69" s="312"/>
    </row>
    <row r="70" spans="5:5">
      <c r="E70" s="313"/>
    </row>
  </sheetData>
  <mergeCells count="5">
    <mergeCell ref="A7:E7"/>
    <mergeCell ref="C28:E28"/>
    <mergeCell ref="D29:E29"/>
    <mergeCell ref="D30:E30"/>
    <mergeCell ref="D31:E31"/>
  </mergeCells>
  <pageMargins left="0.7" right="0.7" top="0.78740157499999996" bottom="0.78740157499999996" header="0.3" footer="0.3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Balance</vt:lpstr>
      <vt:lpstr>Février 2025</vt:lpstr>
      <vt:lpstr>Individual costs</vt:lpstr>
      <vt:lpstr>data ANALYSIS</vt:lpstr>
      <vt:lpstr>Individual received</vt:lpstr>
      <vt:lpstr>Bank journal</vt:lpstr>
      <vt:lpstr>Cash journal</vt:lpstr>
      <vt:lpstr>Personals balance </vt:lpstr>
      <vt:lpstr>Bank reconciliation</vt:lpstr>
      <vt:lpstr>Cash desk closing</vt:lpstr>
      <vt:lpstr>Global data </vt:lpstr>
      <vt:lpstr>Donors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Hajduchová</dc:creator>
  <cp:lastModifiedBy>Merveille Raison</cp:lastModifiedBy>
  <cp:lastPrinted>2025-03-06T13:44:07Z</cp:lastPrinted>
  <dcterms:created xsi:type="dcterms:W3CDTF">2024-11-19T16:31:30Z</dcterms:created>
  <dcterms:modified xsi:type="dcterms:W3CDTF">2025-03-19T11:53:52Z</dcterms:modified>
</cp:coreProperties>
</file>