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Campta agent PALF mars 2025\"/>
    </mc:Choice>
  </mc:AlternateContent>
  <xr:revisionPtr revIDLastSave="0" documentId="13_ncr:1_{FA645318-988E-48E3-8837-1C41957EDBE0}" xr6:coauthVersionLast="47" xr6:coauthVersionMax="47" xr10:uidLastSave="{00000000-0000-0000-0000-000000000000}"/>
  <bookViews>
    <workbookView xWindow="-108" yWindow="-108" windowWidth="23256" windowHeight="12456" firstSheet="5" activeTab="10" xr2:uid="{00000000-000D-0000-FFFF-FFFF00000000}"/>
  </bookViews>
  <sheets>
    <sheet name="Balance" sheetId="2" r:id="rId1"/>
    <sheet name="DATA MARS 2025" sheetId="1" r:id="rId2"/>
    <sheet name="Individual costs" sheetId="10" r:id="rId3"/>
    <sheet name="data ANALYSIS" sheetId="12" r:id="rId4"/>
    <sheet name="Individual received" sheetId="19" r:id="rId5"/>
    <sheet name="Bank journal" sheetId="4" r:id="rId6"/>
    <sheet name="Cash journal" sheetId="3" r:id="rId7"/>
    <sheet name="Bank reconciliation" sheetId="5" r:id="rId8"/>
    <sheet name="Personals balance " sheetId="6" r:id="rId9"/>
    <sheet name="Cash desk closing" sheetId="7" r:id="rId10"/>
    <sheet name="Global data MARS 2025" sheetId="22" r:id="rId11"/>
    <sheet name="Donors table" sheetId="9" r:id="rId12"/>
  </sheets>
  <externalReferences>
    <externalReference r:id="rId13"/>
    <externalReference r:id="rId14"/>
    <externalReference r:id="rId15"/>
  </externalReferences>
  <definedNames>
    <definedName name="_xlnm._FilterDatabase" localSheetId="5" hidden="1">'Bank journal'!$A$1:$I$47</definedName>
    <definedName name="_xlnm._FilterDatabase" localSheetId="6" hidden="1">'Cash journal'!$A$1:$J$145</definedName>
    <definedName name="_xlnm._FilterDatabase" localSheetId="1" hidden="1">'DATA MARS 2025'!$A$1:$O$227</definedName>
    <definedName name="_xlnm._FilterDatabase" localSheetId="10" hidden="1">'Global data MARS 2025'!$A$1:$O$587</definedName>
    <definedName name="_xlnm._FilterDatabase" localSheetId="8" hidden="1">'Personals balance '!$A$383:$J$403</definedName>
  </definedNames>
  <calcPr calcId="191029"/>
  <pivotCaches>
    <pivotCache cacheId="0" r:id="rId16"/>
    <pivotCache cacheId="1" r:id="rId17"/>
    <pivotCache cacheId="2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9" l="1"/>
  <c r="B67" i="9"/>
  <c r="F362" i="6"/>
  <c r="E362" i="6"/>
  <c r="G3" i="3"/>
  <c r="G4" i="3" s="1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E488" i="22"/>
  <c r="D57" i="9"/>
  <c r="D15" i="2"/>
  <c r="E57" i="9"/>
  <c r="E15" i="2"/>
  <c r="H362" i="6" l="1"/>
  <c r="H15" i="2" s="1"/>
  <c r="J41" i="9"/>
  <c r="F587" i="22"/>
  <c r="F586" i="22"/>
  <c r="F585" i="22"/>
  <c r="F584" i="22"/>
  <c r="F583" i="22"/>
  <c r="F582" i="22"/>
  <c r="F581" i="22"/>
  <c r="F580" i="22"/>
  <c r="F579" i="22"/>
  <c r="F578" i="22"/>
  <c r="F577" i="22"/>
  <c r="F576" i="22"/>
  <c r="F575" i="22"/>
  <c r="F574" i="22"/>
  <c r="F573" i="22"/>
  <c r="F572" i="22"/>
  <c r="F571" i="22"/>
  <c r="F570" i="22"/>
  <c r="F569" i="22"/>
  <c r="F568" i="22"/>
  <c r="F567" i="22"/>
  <c r="F566" i="22"/>
  <c r="F565" i="22"/>
  <c r="F564" i="22"/>
  <c r="F563" i="22"/>
  <c r="F562" i="22"/>
  <c r="F561" i="22"/>
  <c r="F560" i="22"/>
  <c r="F559" i="22"/>
  <c r="F558" i="22"/>
  <c r="F557" i="22"/>
  <c r="F556" i="22"/>
  <c r="F555" i="22"/>
  <c r="F554" i="22"/>
  <c r="F553" i="22"/>
  <c r="F552" i="22"/>
  <c r="F551" i="22"/>
  <c r="F550" i="22"/>
  <c r="F549" i="22"/>
  <c r="F548" i="22"/>
  <c r="F547" i="22"/>
  <c r="F546" i="22"/>
  <c r="F545" i="22"/>
  <c r="F544" i="22"/>
  <c r="F543" i="22"/>
  <c r="F542" i="22"/>
  <c r="F541" i="22"/>
  <c r="F540" i="22"/>
  <c r="F539" i="22"/>
  <c r="F538" i="22"/>
  <c r="F537" i="22"/>
  <c r="F536" i="22"/>
  <c r="F535" i="22"/>
  <c r="F534" i="22"/>
  <c r="F533" i="22"/>
  <c r="F532" i="22"/>
  <c r="F531" i="22"/>
  <c r="F530" i="22"/>
  <c r="F529" i="22"/>
  <c r="F528" i="22"/>
  <c r="F527" i="22"/>
  <c r="F526" i="22"/>
  <c r="F525" i="22"/>
  <c r="F524" i="22"/>
  <c r="F523" i="22"/>
  <c r="F522" i="22"/>
  <c r="F521" i="22"/>
  <c r="F520" i="22"/>
  <c r="F519" i="22"/>
  <c r="F518" i="22"/>
  <c r="F517" i="22"/>
  <c r="F516" i="22"/>
  <c r="F515" i="22"/>
  <c r="F514" i="22"/>
  <c r="F513" i="22"/>
  <c r="F512" i="22"/>
  <c r="F511" i="22"/>
  <c r="F510" i="22"/>
  <c r="F509" i="22"/>
  <c r="F508" i="22"/>
  <c r="F507" i="22"/>
  <c r="F506" i="22"/>
  <c r="F505" i="22"/>
  <c r="F504" i="22"/>
  <c r="F503" i="22"/>
  <c r="F502" i="22"/>
  <c r="F501" i="22"/>
  <c r="F500" i="22"/>
  <c r="F499" i="22"/>
  <c r="F498" i="22"/>
  <c r="F497" i="22"/>
  <c r="F496" i="22"/>
  <c r="F495" i="22"/>
  <c r="F494" i="22"/>
  <c r="F493" i="22"/>
  <c r="F492" i="22"/>
  <c r="F491" i="22"/>
  <c r="F490" i="22"/>
  <c r="F489" i="22"/>
  <c r="F488" i="22"/>
  <c r="F487" i="22"/>
  <c r="F486" i="22"/>
  <c r="F485" i="22"/>
  <c r="F484" i="22"/>
  <c r="F483" i="22"/>
  <c r="F482" i="22"/>
  <c r="F481" i="22"/>
  <c r="F480" i="22"/>
  <c r="F479" i="22"/>
  <c r="F478" i="22"/>
  <c r="F477" i="22"/>
  <c r="F476" i="22"/>
  <c r="F475" i="22"/>
  <c r="F474" i="22"/>
  <c r="F473" i="22"/>
  <c r="F472" i="22"/>
  <c r="F471" i="22"/>
  <c r="F470" i="22"/>
  <c r="F469" i="22"/>
  <c r="F468" i="22"/>
  <c r="F467" i="22"/>
  <c r="F466" i="22"/>
  <c r="F465" i="22"/>
  <c r="F464" i="22"/>
  <c r="F463" i="22"/>
  <c r="F462" i="22"/>
  <c r="F461" i="22"/>
  <c r="F460" i="22"/>
  <c r="F459" i="22"/>
  <c r="F458" i="22"/>
  <c r="F457" i="22"/>
  <c r="F456" i="22"/>
  <c r="F455" i="22"/>
  <c r="F454" i="22"/>
  <c r="F453" i="22"/>
  <c r="F452" i="22"/>
  <c r="F451" i="22"/>
  <c r="F450" i="22"/>
  <c r="F449" i="22"/>
  <c r="F448" i="22"/>
  <c r="F447" i="22"/>
  <c r="F446" i="22"/>
  <c r="F445" i="22"/>
  <c r="F444" i="22"/>
  <c r="F443" i="22"/>
  <c r="F442" i="22"/>
  <c r="F441" i="22"/>
  <c r="F440" i="22"/>
  <c r="F439" i="22"/>
  <c r="F438" i="22"/>
  <c r="F437" i="22"/>
  <c r="F436" i="22"/>
  <c r="F435" i="22"/>
  <c r="F434" i="22"/>
  <c r="F433" i="22"/>
  <c r="F432" i="22"/>
  <c r="F431" i="22"/>
  <c r="F430" i="22"/>
  <c r="F429" i="22"/>
  <c r="F428" i="22"/>
  <c r="F427" i="22"/>
  <c r="F426" i="22"/>
  <c r="F425" i="22"/>
  <c r="F424" i="22"/>
  <c r="F423" i="22"/>
  <c r="F422" i="22"/>
  <c r="F421" i="22"/>
  <c r="F420" i="22"/>
  <c r="F419" i="22"/>
  <c r="F418" i="22"/>
  <c r="F417" i="22"/>
  <c r="F416" i="22"/>
  <c r="F415" i="22"/>
  <c r="F414" i="22"/>
  <c r="F413" i="22"/>
  <c r="F412" i="22"/>
  <c r="F411" i="22"/>
  <c r="F410" i="22"/>
  <c r="F409" i="22"/>
  <c r="F408" i="22"/>
  <c r="F407" i="22"/>
  <c r="F406" i="22"/>
  <c r="F405" i="22"/>
  <c r="F404" i="22"/>
  <c r="F403" i="22"/>
  <c r="F402" i="22"/>
  <c r="F401" i="22"/>
  <c r="F400" i="22"/>
  <c r="F399" i="22"/>
  <c r="F398" i="22"/>
  <c r="F397" i="22"/>
  <c r="F396" i="22"/>
  <c r="F395" i="22"/>
  <c r="F394" i="22"/>
  <c r="F393" i="22"/>
  <c r="F392" i="22"/>
  <c r="F391" i="22"/>
  <c r="F390" i="22"/>
  <c r="F389" i="22"/>
  <c r="F388" i="22"/>
  <c r="F387" i="22"/>
  <c r="F386" i="22"/>
  <c r="F385" i="22"/>
  <c r="F384" i="22"/>
  <c r="F383" i="22"/>
  <c r="F382" i="22"/>
  <c r="F381" i="22"/>
  <c r="F380" i="22"/>
  <c r="F379" i="22"/>
  <c r="F378" i="22"/>
  <c r="F377" i="22"/>
  <c r="F376" i="22"/>
  <c r="F375" i="22"/>
  <c r="F374" i="22"/>
  <c r="F373" i="22"/>
  <c r="F372" i="22"/>
  <c r="F371" i="22"/>
  <c r="F370" i="22"/>
  <c r="F369" i="22"/>
  <c r="F368" i="22"/>
  <c r="F367" i="22"/>
  <c r="F366" i="22"/>
  <c r="F365" i="22"/>
  <c r="F364" i="22"/>
  <c r="F363" i="22"/>
  <c r="F362" i="22"/>
  <c r="D19" i="2"/>
  <c r="E44" i="9"/>
  <c r="G4" i="9"/>
  <c r="D3" i="9"/>
  <c r="F44" i="9"/>
  <c r="G17" i="9"/>
  <c r="E25" i="2"/>
  <c r="D44" i="9"/>
  <c r="F17" i="9"/>
  <c r="F4" i="9"/>
  <c r="G57" i="9"/>
  <c r="E3" i="9"/>
  <c r="F3" i="9"/>
  <c r="F56" i="9"/>
  <c r="D25" i="2"/>
  <c r="G56" i="9"/>
  <c r="F57" i="9"/>
  <c r="G44" i="9"/>
  <c r="G3" i="9"/>
  <c r="F31" i="9"/>
  <c r="I42" i="9" l="1"/>
  <c r="E41" i="9"/>
  <c r="D41" i="9"/>
  <c r="B41" i="9"/>
  <c r="D12" i="2"/>
  <c r="E13" i="2"/>
  <c r="E19" i="2"/>
  <c r="D10" i="2"/>
  <c r="D4" i="2"/>
  <c r="G8" i="2"/>
  <c r="E2" i="2"/>
  <c r="E12" i="2"/>
  <c r="G12" i="2"/>
  <c r="E8" i="2"/>
  <c r="E14" i="2"/>
  <c r="E3" i="2"/>
  <c r="E16" i="2"/>
  <c r="G3" i="2"/>
  <c r="D16" i="2"/>
  <c r="D2" i="2"/>
  <c r="G11" i="2"/>
  <c r="D3" i="2"/>
  <c r="G4" i="2"/>
  <c r="G15" i="2"/>
  <c r="G5" i="2"/>
  <c r="D8" i="2"/>
  <c r="D13" i="2"/>
  <c r="D11" i="2"/>
  <c r="G9" i="2"/>
  <c r="E9" i="2"/>
  <c r="G16" i="2"/>
  <c r="E4" i="2"/>
  <c r="G14" i="2"/>
  <c r="D14" i="2"/>
  <c r="D9" i="2"/>
  <c r="E11" i="2"/>
  <c r="G2" i="2"/>
  <c r="G19" i="2"/>
  <c r="G13" i="2"/>
  <c r="E10" i="2"/>
  <c r="D5" i="2"/>
  <c r="G10" i="2"/>
  <c r="E5" i="2"/>
  <c r="H42" i="9" l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G41" i="9"/>
  <c r="I41" i="9" s="1"/>
  <c r="I43" i="9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F41" i="9"/>
  <c r="H41" i="9" s="1"/>
  <c r="D29" i="2"/>
  <c r="I29" i="9"/>
  <c r="E28" i="9"/>
  <c r="D28" i="9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" i="1"/>
  <c r="D53" i="5"/>
  <c r="E128" i="1"/>
  <c r="F128" i="1" s="1"/>
  <c r="H24" i="6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F28" i="9" l="1"/>
  <c r="H28" i="9" s="1"/>
  <c r="G28" i="9"/>
  <c r="I30" i="9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28" i="9"/>
  <c r="H29" i="9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E48" i="6" l="1"/>
  <c r="F48" i="6"/>
  <c r="H55" i="6"/>
  <c r="H48" i="6" l="1"/>
  <c r="F380" i="6"/>
  <c r="E380" i="6"/>
  <c r="H380" i="6" s="1"/>
  <c r="H367" i="6"/>
  <c r="H368" i="6" s="1"/>
  <c r="H369" i="6" s="1"/>
  <c r="H370" i="6" s="1"/>
  <c r="H371" i="6" s="1"/>
  <c r="H372" i="6" s="1"/>
  <c r="H373" i="6" s="1"/>
  <c r="H374" i="6" s="1"/>
  <c r="H375" i="6" s="1"/>
  <c r="H376" i="6" s="1"/>
  <c r="H377" i="6" s="1"/>
  <c r="H378" i="6" s="1"/>
  <c r="H379" i="6" s="1"/>
  <c r="H327" i="6" l="1"/>
  <c r="H328" i="6" s="1"/>
  <c r="H329" i="6" s="1"/>
  <c r="H330" i="6" s="1"/>
  <c r="H331" i="6" s="1"/>
  <c r="H332" i="6" s="1"/>
  <c r="H333" i="6" s="1"/>
  <c r="H334" i="6" s="1"/>
  <c r="H335" i="6" s="1"/>
  <c r="H336" i="6" s="1"/>
  <c r="H337" i="6" s="1"/>
  <c r="H338" i="6" s="1"/>
  <c r="H339" i="6" s="1"/>
  <c r="H340" i="6" s="1"/>
  <c r="H341" i="6" s="1"/>
  <c r="H342" i="6" s="1"/>
  <c r="H343" i="6" s="1"/>
  <c r="H344" i="6" s="1"/>
  <c r="H345" i="6" s="1"/>
  <c r="H346" i="6" s="1"/>
  <c r="H347" i="6" s="1"/>
  <c r="H348" i="6" s="1"/>
  <c r="H349" i="6" s="1"/>
  <c r="H350" i="6" s="1"/>
  <c r="H351" i="6" s="1"/>
  <c r="H352" i="6" s="1"/>
  <c r="H353" i="6" s="1"/>
  <c r="H354" i="6" s="1"/>
  <c r="H355" i="6" s="1"/>
  <c r="H356" i="6" s="1"/>
  <c r="H357" i="6" s="1"/>
  <c r="H358" i="6" s="1"/>
  <c r="H359" i="6" s="1"/>
  <c r="H360" i="6" s="1"/>
  <c r="H361" i="6" s="1"/>
  <c r="H301" i="6" l="1"/>
  <c r="H302" i="6" s="1"/>
  <c r="H303" i="6" s="1"/>
  <c r="H304" i="6" s="1"/>
  <c r="H305" i="6" s="1"/>
  <c r="H306" i="6" s="1"/>
  <c r="H307" i="6" s="1"/>
  <c r="H308" i="6" s="1"/>
  <c r="H309" i="6" s="1"/>
  <c r="H310" i="6" s="1"/>
  <c r="H311" i="6" s="1"/>
  <c r="H312" i="6" s="1"/>
  <c r="H313" i="6" s="1"/>
  <c r="H314" i="6" s="1"/>
  <c r="H315" i="6" s="1"/>
  <c r="H316" i="6" s="1"/>
  <c r="H317" i="6" s="1"/>
  <c r="H318" i="6" s="1"/>
  <c r="H319" i="6" s="1"/>
  <c r="H275" i="6" l="1"/>
  <c r="H276" i="6" s="1"/>
  <c r="H277" i="6" s="1"/>
  <c r="H278" i="6" s="1"/>
  <c r="H279" i="6" s="1"/>
  <c r="H280" i="6" s="1"/>
  <c r="H281" i="6" s="1"/>
  <c r="H282" i="6" s="1"/>
  <c r="H283" i="6" s="1"/>
  <c r="H284" i="6" s="1"/>
  <c r="H285" i="6" s="1"/>
  <c r="H286" i="6" s="1"/>
  <c r="H287" i="6" s="1"/>
  <c r="H288" i="6" s="1"/>
  <c r="H289" i="6" s="1"/>
  <c r="H290" i="6" s="1"/>
  <c r="H291" i="6" s="1"/>
  <c r="H292" i="6" s="1"/>
  <c r="F271" i="6" l="1"/>
  <c r="E271" i="6"/>
  <c r="H271" i="6" l="1"/>
  <c r="E245" i="6"/>
  <c r="F245" i="6"/>
  <c r="H245" i="6" s="1"/>
  <c r="H189" i="6" l="1"/>
  <c r="H190" i="6" s="1"/>
  <c r="H191" i="6" s="1"/>
  <c r="H192" i="6" s="1"/>
  <c r="H193" i="6" s="1"/>
  <c r="H194" i="6" s="1"/>
  <c r="H195" i="6" s="1"/>
  <c r="H196" i="6" s="1"/>
  <c r="H197" i="6" s="1"/>
  <c r="H198" i="6" s="1"/>
  <c r="H199" i="6" s="1"/>
  <c r="H200" i="6" s="1"/>
  <c r="H201" i="6" s="1"/>
  <c r="H202" i="6" s="1"/>
  <c r="H203" i="6" s="1"/>
  <c r="H204" i="6" s="1"/>
  <c r="H205" i="6" s="1"/>
  <c r="H206" i="6" s="1"/>
  <c r="H207" i="6" s="1"/>
  <c r="H208" i="6" s="1"/>
  <c r="H209" i="6" s="1"/>
  <c r="H210" i="6" s="1"/>
  <c r="H211" i="6" s="1"/>
  <c r="H212" i="6" s="1"/>
  <c r="H213" i="6" s="1"/>
  <c r="H214" i="6" s="1"/>
  <c r="H215" i="6" s="1"/>
  <c r="H216" i="6" s="1"/>
  <c r="H217" i="6" s="1"/>
  <c r="H218" i="6" s="1"/>
  <c r="H165" i="6" l="1"/>
  <c r="H166" i="6" s="1"/>
  <c r="H167" i="6" s="1"/>
  <c r="H168" i="6" s="1"/>
  <c r="H169" i="6" s="1"/>
  <c r="H170" i="6" s="1"/>
  <c r="H171" i="6" s="1"/>
  <c r="H172" i="6" s="1"/>
  <c r="H173" i="6" s="1"/>
  <c r="H174" i="6" s="1"/>
  <c r="H175" i="6" s="1"/>
  <c r="H176" i="6" s="1"/>
  <c r="H177" i="6" s="1"/>
  <c r="H178" i="6" s="1"/>
  <c r="H179" i="6" s="1"/>
  <c r="H180" i="6" s="1"/>
  <c r="H181" i="6" s="1"/>
  <c r="H182" i="6" s="1"/>
  <c r="H183" i="6" s="1"/>
  <c r="H108" i="6" l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28" i="6" s="1"/>
  <c r="H129" i="6" s="1"/>
  <c r="H130" i="6" s="1"/>
  <c r="H131" i="6" s="1"/>
  <c r="H132" i="6" s="1"/>
  <c r="H133" i="6" s="1"/>
  <c r="H134" i="6" s="1"/>
  <c r="H135" i="6" s="1"/>
  <c r="H136" i="6" s="1"/>
  <c r="H137" i="6" s="1"/>
  <c r="H138" i="6" s="1"/>
  <c r="H139" i="6" s="1"/>
  <c r="H140" i="6" s="1"/>
  <c r="H141" i="6" s="1"/>
  <c r="H142" i="6" s="1"/>
  <c r="H143" i="6" s="1"/>
  <c r="H144" i="6" s="1"/>
  <c r="H145" i="6" s="1"/>
  <c r="H146" i="6" s="1"/>
  <c r="H147" i="6" s="1"/>
  <c r="H148" i="6" s="1"/>
  <c r="H149" i="6" s="1"/>
  <c r="H150" i="6" s="1"/>
  <c r="H151" i="6" s="1"/>
  <c r="H152" i="6" s="1"/>
  <c r="H153" i="6" s="1"/>
  <c r="H154" i="6" s="1"/>
  <c r="H155" i="6" s="1"/>
  <c r="H156" i="6" s="1"/>
  <c r="H157" i="6" s="1"/>
  <c r="H56" i="6" l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E19" i="6" l="1"/>
  <c r="F16" i="6"/>
  <c r="F19" i="6" s="1"/>
  <c r="H5" i="6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67" i="9" l="1"/>
  <c r="C67" i="9"/>
  <c r="C68" i="9" s="1"/>
  <c r="I55" i="9"/>
  <c r="J54" i="9"/>
  <c r="B54" i="9" s="1"/>
  <c r="E54" i="9"/>
  <c r="D54" i="9"/>
  <c r="I16" i="9"/>
  <c r="B15" i="9"/>
  <c r="E15" i="9"/>
  <c r="D15" i="9"/>
  <c r="F361" i="22"/>
  <c r="F360" i="22"/>
  <c r="F359" i="22"/>
  <c r="F358" i="22"/>
  <c r="F357" i="22"/>
  <c r="F356" i="22"/>
  <c r="F355" i="22"/>
  <c r="F354" i="22"/>
  <c r="F353" i="22"/>
  <c r="F352" i="22"/>
  <c r="F351" i="22"/>
  <c r="F350" i="22"/>
  <c r="F349" i="22"/>
  <c r="F348" i="22"/>
  <c r="F347" i="22"/>
  <c r="F346" i="22"/>
  <c r="F345" i="22"/>
  <c r="F344" i="22"/>
  <c r="F343" i="22"/>
  <c r="F342" i="22"/>
  <c r="F341" i="22"/>
  <c r="F340" i="22"/>
  <c r="F339" i="22"/>
  <c r="F338" i="22"/>
  <c r="F337" i="22"/>
  <c r="F336" i="22"/>
  <c r="F335" i="22"/>
  <c r="F334" i="22"/>
  <c r="F333" i="22"/>
  <c r="F332" i="22"/>
  <c r="F331" i="22"/>
  <c r="F330" i="22"/>
  <c r="F329" i="22"/>
  <c r="F328" i="22"/>
  <c r="F327" i="22"/>
  <c r="F326" i="22"/>
  <c r="F325" i="22"/>
  <c r="F324" i="22"/>
  <c r="F323" i="22"/>
  <c r="F322" i="22"/>
  <c r="F321" i="22"/>
  <c r="F320" i="22"/>
  <c r="F319" i="22"/>
  <c r="F318" i="22"/>
  <c r="F317" i="22"/>
  <c r="F316" i="22"/>
  <c r="F315" i="22"/>
  <c r="F314" i="22"/>
  <c r="F313" i="22"/>
  <c r="F312" i="22"/>
  <c r="F311" i="22"/>
  <c r="F310" i="22"/>
  <c r="F309" i="22"/>
  <c r="F308" i="22"/>
  <c r="F307" i="22"/>
  <c r="F306" i="22"/>
  <c r="F305" i="22"/>
  <c r="F304" i="22"/>
  <c r="F303" i="22"/>
  <c r="F302" i="22"/>
  <c r="F301" i="22"/>
  <c r="F300" i="22"/>
  <c r="F299" i="22"/>
  <c r="F298" i="22"/>
  <c r="F297" i="22"/>
  <c r="F296" i="22"/>
  <c r="F295" i="22"/>
  <c r="F294" i="22"/>
  <c r="F293" i="22"/>
  <c r="F292" i="22"/>
  <c r="F291" i="22"/>
  <c r="F290" i="22"/>
  <c r="F289" i="22"/>
  <c r="F288" i="22"/>
  <c r="F287" i="22"/>
  <c r="F286" i="22"/>
  <c r="F285" i="22"/>
  <c r="F284" i="22"/>
  <c r="F283" i="22"/>
  <c r="F282" i="22"/>
  <c r="F281" i="22"/>
  <c r="F280" i="22"/>
  <c r="F279" i="22"/>
  <c r="F278" i="22"/>
  <c r="F277" i="22"/>
  <c r="F276" i="22"/>
  <c r="F275" i="22"/>
  <c r="F274" i="22"/>
  <c r="F273" i="22"/>
  <c r="F272" i="22"/>
  <c r="F271" i="22"/>
  <c r="F270" i="22"/>
  <c r="F269" i="22"/>
  <c r="F268" i="22"/>
  <c r="F267" i="22"/>
  <c r="F266" i="22"/>
  <c r="F265" i="22"/>
  <c r="F264" i="22"/>
  <c r="F263" i="22"/>
  <c r="F262" i="22"/>
  <c r="F261" i="22"/>
  <c r="F260" i="22"/>
  <c r="F259" i="22"/>
  <c r="F258" i="22"/>
  <c r="F257" i="22"/>
  <c r="F256" i="22"/>
  <c r="F255" i="22"/>
  <c r="F254" i="22"/>
  <c r="F253" i="22"/>
  <c r="F252" i="22"/>
  <c r="F251" i="22"/>
  <c r="F250" i="22"/>
  <c r="F249" i="22"/>
  <c r="F248" i="22"/>
  <c r="F247" i="22"/>
  <c r="F246" i="22"/>
  <c r="F245" i="22"/>
  <c r="F244" i="22"/>
  <c r="F243" i="22"/>
  <c r="F242" i="22"/>
  <c r="F241" i="22"/>
  <c r="F240" i="22"/>
  <c r="F239" i="22"/>
  <c r="F238" i="22"/>
  <c r="F237" i="22"/>
  <c r="F236" i="22"/>
  <c r="F235" i="22"/>
  <c r="F234" i="22"/>
  <c r="F233" i="22"/>
  <c r="F232" i="22"/>
  <c r="F231" i="22"/>
  <c r="F230" i="22"/>
  <c r="F229" i="22"/>
  <c r="F228" i="22"/>
  <c r="F227" i="22"/>
  <c r="F226" i="22"/>
  <c r="F225" i="22"/>
  <c r="F224" i="22"/>
  <c r="F223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G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F5" i="22"/>
  <c r="F4" i="22"/>
  <c r="F3" i="22"/>
  <c r="F2" i="22"/>
  <c r="F19" i="7"/>
  <c r="F18" i="7"/>
  <c r="F17" i="7"/>
  <c r="F16" i="7"/>
  <c r="F15" i="7"/>
  <c r="F14" i="7"/>
  <c r="F11" i="7"/>
  <c r="F10" i="7"/>
  <c r="F9" i="7"/>
  <c r="F8" i="7"/>
  <c r="F7" i="7"/>
  <c r="D67" i="5"/>
  <c r="D85" i="5" s="1"/>
  <c r="F403" i="6"/>
  <c r="E403" i="6"/>
  <c r="H403" i="6" s="1"/>
  <c r="H16" i="2" s="1"/>
  <c r="H13" i="2"/>
  <c r="F320" i="6"/>
  <c r="E320" i="6"/>
  <c r="F293" i="6"/>
  <c r="E293" i="6"/>
  <c r="H11" i="2"/>
  <c r="F219" i="6"/>
  <c r="E219" i="6"/>
  <c r="H219" i="6" s="1"/>
  <c r="H10" i="2" s="1"/>
  <c r="F184" i="6"/>
  <c r="E184" i="6"/>
  <c r="F158" i="6"/>
  <c r="E158" i="6"/>
  <c r="F101" i="6"/>
  <c r="E101" i="6"/>
  <c r="H19" i="6"/>
  <c r="H2" i="2" s="1"/>
  <c r="C25" i="2"/>
  <c r="I25" i="2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F20" i="2"/>
  <c r="D20" i="2"/>
  <c r="C19" i="2"/>
  <c r="I19" i="2" s="1"/>
  <c r="F17" i="2"/>
  <c r="C16" i="2"/>
  <c r="C15" i="2"/>
  <c r="C14" i="2"/>
  <c r="C13" i="2"/>
  <c r="I13" i="2" s="1"/>
  <c r="C12" i="2"/>
  <c r="C11" i="2"/>
  <c r="C10" i="2"/>
  <c r="C9" i="2"/>
  <c r="C8" i="2"/>
  <c r="I7" i="2"/>
  <c r="J7" i="2" s="1"/>
  <c r="I6" i="2"/>
  <c r="J6" i="2" s="1"/>
  <c r="C5" i="2"/>
  <c r="C4" i="2"/>
  <c r="C3" i="2"/>
  <c r="C2" i="2"/>
  <c r="F20" i="7" l="1"/>
  <c r="F22" i="7" s="1"/>
  <c r="H16" i="9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F23" i="7"/>
  <c r="F2" i="9"/>
  <c r="G2" i="9"/>
  <c r="G54" i="9"/>
  <c r="J3" i="9"/>
  <c r="B2" i="9" s="1"/>
  <c r="B68" i="9" s="1"/>
  <c r="B71" i="9" s="1"/>
  <c r="D2" i="9"/>
  <c r="D68" i="9" s="1"/>
  <c r="I3" i="9"/>
  <c r="I4" i="9" s="1"/>
  <c r="I5" i="9" s="1"/>
  <c r="I6" i="9" s="1"/>
  <c r="I7" i="9" s="1"/>
  <c r="I8" i="9" s="1"/>
  <c r="I9" i="9" s="1"/>
  <c r="I10" i="9" s="1"/>
  <c r="I11" i="9" s="1"/>
  <c r="I12" i="9" s="1"/>
  <c r="I13" i="9" s="1"/>
  <c r="I14" i="9" s="1"/>
  <c r="E2" i="9"/>
  <c r="F15" i="9"/>
  <c r="H15" i="9" s="1"/>
  <c r="G15" i="9"/>
  <c r="I15" i="9" s="1"/>
  <c r="F54" i="9"/>
  <c r="H55" i="9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I17" i="9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56" i="9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G17" i="2"/>
  <c r="G20" i="2"/>
  <c r="D17" i="2"/>
  <c r="E20" i="2"/>
  <c r="E17" i="2"/>
  <c r="I9" i="2"/>
  <c r="I12" i="2"/>
  <c r="I16" i="2"/>
  <c r="J16" i="2" s="1"/>
  <c r="I10" i="2"/>
  <c r="J10" i="2" s="1"/>
  <c r="I14" i="2"/>
  <c r="I3" i="2"/>
  <c r="I8" i="2"/>
  <c r="I11" i="2"/>
  <c r="J11" i="2" s="1"/>
  <c r="I15" i="2"/>
  <c r="J15" i="2" s="1"/>
  <c r="I20" i="2"/>
  <c r="I4" i="2"/>
  <c r="I5" i="2"/>
  <c r="I67" i="9"/>
  <c r="H19" i="2"/>
  <c r="H20" i="2" s="1"/>
  <c r="D88" i="5"/>
  <c r="C20" i="2"/>
  <c r="H320" i="6"/>
  <c r="H14" i="2" s="1"/>
  <c r="H3" i="2"/>
  <c r="H158" i="6"/>
  <c r="H5" i="2" s="1"/>
  <c r="H293" i="6"/>
  <c r="H12" i="2" s="1"/>
  <c r="H184" i="6"/>
  <c r="H9" i="2" s="1"/>
  <c r="H8" i="2"/>
  <c r="H101" i="6"/>
  <c r="H4" i="2" s="1"/>
  <c r="J13" i="2"/>
  <c r="C17" i="2"/>
  <c r="I2" i="2"/>
  <c r="J3" i="2" l="1"/>
  <c r="J14" i="2"/>
  <c r="F68" i="9"/>
  <c r="C29" i="2"/>
  <c r="I2" i="9"/>
  <c r="J20" i="2"/>
  <c r="F24" i="7"/>
  <c r="H25" i="2"/>
  <c r="J25" i="2" s="1"/>
  <c r="H54" i="9"/>
  <c r="E68" i="9"/>
  <c r="H2" i="9"/>
  <c r="H3" i="9"/>
  <c r="H4" i="9" s="1"/>
  <c r="H5" i="9" s="1"/>
  <c r="H6" i="9" s="1"/>
  <c r="H7" i="9" s="1"/>
  <c r="H8" i="9" s="1"/>
  <c r="H9" i="9" s="1"/>
  <c r="H10" i="9" s="1"/>
  <c r="H11" i="9" s="1"/>
  <c r="H12" i="9" s="1"/>
  <c r="H13" i="9" s="1"/>
  <c r="H14" i="9" s="1"/>
  <c r="G68" i="9"/>
  <c r="I54" i="9"/>
  <c r="E23" i="2"/>
  <c r="E29" i="2" s="1"/>
  <c r="J4" i="2"/>
  <c r="J12" i="2"/>
  <c r="J5" i="2"/>
  <c r="J19" i="2"/>
  <c r="I17" i="2"/>
  <c r="J8" i="2"/>
  <c r="J9" i="2"/>
  <c r="H17" i="2"/>
  <c r="J2" i="2"/>
  <c r="H68" i="9" l="1"/>
  <c r="I68" i="9"/>
  <c r="H29" i="2"/>
  <c r="I29" i="2"/>
  <c r="H70" i="9" s="1"/>
  <c r="J17" i="2"/>
  <c r="J29" i="2" l="1"/>
  <c r="H7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tc={A12D1BC1-2A0A-4E82-995E-AE42C351895A}</author>
    <author>tc={B9DA9024-4CA0-46CF-BCB7-17B9FFFC34E0}</author>
    <author>tc={62FAAB4B-6EAF-4972-9E02-C37D118F3FE1}</author>
    <author>tc={CD553CA5-AD13-43FC-A1F7-EF2DE5EF7A94}</author>
    <author>tc={5991BF77-FCF5-4586-9875-1F89E2825A51}</author>
    <author>tc={D10F2EAC-DC88-4867-AF3C-128AC3A279F6}</author>
    <author>tc={E4BF8878-824E-43F9-ABC1-A73CD708EDCD}</author>
    <author>tc={5E3CEF0F-AC62-41D5-A934-AC03EDB0B8D2}</author>
    <author>tc={A6199460-FC62-44E6-AB78-D712E7363C57}</author>
  </authors>
  <commentList>
    <comment ref="C2" authorId="0" shapeId="0" xr:uid="{00000000-0006-0000-0000-000001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D2" authorId="1" shapeId="0" xr:uid="{00000000-0006-0000-0000-000002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„Cash journal“</t>
        </r>
      </text>
    </comment>
    <comment ref="E2" authorId="2" shapeId="0" xr:uid="{00000000-0006-0000-0000-000003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pivot table „data“</t>
        </r>
      </text>
    </comment>
    <comment ref="H2" authorId="3" shapeId="0" xr:uid="{00000000-0006-0000-0000-000004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personal balance</t>
        </r>
      </text>
    </comment>
    <comment ref="I2" authorId="4" shapeId="0" xr:uid="{00000000-0006-0000-0000-000005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formula</t>
        </r>
      </text>
    </comment>
    <comment ref="C19" authorId="5" shapeId="0" xr:uid="{00000000-0006-0000-0000-000006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I19" authorId="6" shapeId="0" xr:uid="{00000000-0006-0000-0000-000007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bank journal</t>
        </r>
      </text>
    </comment>
    <comment ref="C25" authorId="7" shapeId="0" xr:uid="{00000000-0006-0000-0000-000008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  <comment ref="H25" authorId="8" shapeId="0" xr:uid="{00000000-0006-0000-0000-000009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tc={C1DF0F66-A833-40DC-8B4A-5A54471ED649}</author>
    <author>tc={F88D673A-DD35-4DCB-976B-8A96F322437E}</author>
  </authors>
  <commentList>
    <comment ref="C6" authorId="0" shapeId="0" xr:uid="{00000000-0006-0000-0900-000001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Adjust that according to your country</t>
        </r>
      </text>
    </comment>
    <comment ref="F23" authorId="1" shapeId="0" xr:uid="{00000000-0006-0000-0900-000002000000}">
      <text>
        <r>
          <rPr>
            <sz val="11"/>
            <color theme="1"/>
            <rFont val="Aptos Narrow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Link to the cash journal</t>
        </r>
      </text>
    </comment>
  </commentList>
</comments>
</file>

<file path=xl/sharedStrings.xml><?xml version="1.0" encoding="utf-8"?>
<sst xmlns="http://schemas.openxmlformats.org/spreadsheetml/2006/main" count="9523" uniqueCount="1582">
  <si>
    <t>Date</t>
  </si>
  <si>
    <t>Details</t>
  </si>
  <si>
    <t>Type of expenses</t>
  </si>
  <si>
    <t xml:space="preserve">Department </t>
  </si>
  <si>
    <t>Spent in $</t>
  </si>
  <si>
    <t>Exchange Rate $</t>
  </si>
  <si>
    <t>Receipt</t>
  </si>
  <si>
    <t>Project</t>
  </si>
  <si>
    <t>Donor</t>
  </si>
  <si>
    <t>Country</t>
  </si>
  <si>
    <t>Name</t>
  </si>
  <si>
    <t>Department</t>
  </si>
  <si>
    <t>Received</t>
  </si>
  <si>
    <t>Spent</t>
  </si>
  <si>
    <t>Accounting Balance</t>
  </si>
  <si>
    <t>Cross-checking</t>
  </si>
  <si>
    <t>Transfer In</t>
  </si>
  <si>
    <t>Transfer  out</t>
  </si>
  <si>
    <t>TOTAL STAFF</t>
  </si>
  <si>
    <t>TOTAL Banks</t>
  </si>
  <si>
    <t>control of internal transfers</t>
  </si>
  <si>
    <t xml:space="preserve">Total expenses </t>
  </si>
  <si>
    <t>Cash Box</t>
  </si>
  <si>
    <t>MOVEMENTS</t>
  </si>
  <si>
    <t>EXPENSES</t>
  </si>
  <si>
    <t>ACCOUNTING BALANCE</t>
  </si>
  <si>
    <t>CROSS-CHECKING</t>
  </si>
  <si>
    <t>OVERALL BALANCE</t>
  </si>
  <si>
    <t>BANK 1</t>
  </si>
  <si>
    <t xml:space="preserve">Spent </t>
  </si>
  <si>
    <t>Balance</t>
  </si>
  <si>
    <t>GRANTS RECEIVED</t>
  </si>
  <si>
    <t>EAGLE NETWORK</t>
  </si>
  <si>
    <t xml:space="preserve">PROJECT: </t>
  </si>
  <si>
    <t>MONTH</t>
  </si>
  <si>
    <t xml:space="preserve">Bank reconciliation statments </t>
  </si>
  <si>
    <t>ACCOUNTING</t>
  </si>
  <si>
    <t xml:space="preserve">n° </t>
  </si>
  <si>
    <t>Description</t>
  </si>
  <si>
    <t>Débit</t>
  </si>
  <si>
    <t>Crédit</t>
  </si>
  <si>
    <t>Bank balance</t>
  </si>
  <si>
    <t>Account Balance</t>
  </si>
  <si>
    <t>PROJECT COORDINATOR</t>
  </si>
  <si>
    <t>BANK</t>
  </si>
  <si>
    <t>No</t>
  </si>
  <si>
    <t>Amount</t>
  </si>
  <si>
    <t>Add:</t>
  </si>
  <si>
    <t>Unpresented cheques</t>
  </si>
  <si>
    <t>Less:</t>
  </si>
  <si>
    <t>Direct Debits (Bank Charges)</t>
  </si>
  <si>
    <t>Balance as per the bank statement</t>
  </si>
  <si>
    <t>Difference</t>
  </si>
  <si>
    <t>Reason for the Difference.</t>
  </si>
  <si>
    <t>currency</t>
  </si>
  <si>
    <t>Balance as per the accounting</t>
  </si>
  <si>
    <t>Signature accountant</t>
  </si>
  <si>
    <t>signature coordinator</t>
  </si>
  <si>
    <t xml:space="preserve"> Reconciliation Statement </t>
  </si>
  <si>
    <t>Paper Notes</t>
  </si>
  <si>
    <t>x</t>
  </si>
  <si>
    <t>Coins</t>
  </si>
  <si>
    <t>cash balance</t>
  </si>
  <si>
    <t>account balance</t>
  </si>
  <si>
    <t>difference</t>
  </si>
  <si>
    <t xml:space="preserve">Reason for Difference: </t>
  </si>
  <si>
    <t>value</t>
  </si>
  <si>
    <t>number</t>
  </si>
  <si>
    <t>Accountant:</t>
  </si>
  <si>
    <t>Coordinator:</t>
  </si>
  <si>
    <t>Project:</t>
  </si>
  <si>
    <t>Month:</t>
  </si>
  <si>
    <t>Year:</t>
  </si>
  <si>
    <t>Comments</t>
  </si>
  <si>
    <t>comments</t>
  </si>
  <si>
    <t>Balance  in USD</t>
  </si>
  <si>
    <t>exchange rate</t>
  </si>
  <si>
    <t>Opening Balance local currency</t>
  </si>
  <si>
    <t>Opening Balance USD</t>
  </si>
  <si>
    <t>Donated local currency</t>
  </si>
  <si>
    <t>Donated USD</t>
  </si>
  <si>
    <t>Used in local currency</t>
  </si>
  <si>
    <t>Used in USD</t>
  </si>
  <si>
    <t>Balance in local currency</t>
  </si>
  <si>
    <t>January</t>
  </si>
  <si>
    <t>February</t>
  </si>
  <si>
    <t xml:space="preserve">March </t>
  </si>
  <si>
    <t>April</t>
  </si>
  <si>
    <t xml:space="preserve">May </t>
  </si>
  <si>
    <t>June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</si>
  <si>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</si>
  <si>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</si>
  <si>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</si>
  <si>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</si>
  <si>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</si>
  <si>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</si>
  <si>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</si>
  <si>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Balance in financial report</t>
  </si>
  <si>
    <t>Bank name: BCI</t>
  </si>
  <si>
    <t>Account name:  01100-37107202652-34</t>
  </si>
  <si>
    <t>PALF</t>
  </si>
  <si>
    <t>Relevé</t>
  </si>
  <si>
    <t>Reglement loyer du mois de Janvier 2025/3654789</t>
  </si>
  <si>
    <t>Reglement Facture Gardiennage Mois de Janvier 2025/36564792</t>
  </si>
  <si>
    <t>Solde honoraire contrat n°79 Dolisie cas BOUTSANA et Consorts/ Maître BANZOUZI Alain</t>
  </si>
  <si>
    <t>Solde honoraire contrat n°67 Sibiti et Consorts/ Maître Helene</t>
  </si>
  <si>
    <t>RAPATRIEME01100 RAO00010730</t>
  </si>
  <si>
    <t>Paiement salaire du mois de Janvier 2025</t>
  </si>
  <si>
    <t>Paiement salaire du mois de Janvier 2025/Loundou Jean Romain</t>
  </si>
  <si>
    <t>Paiement salaire du mois de Janvier 2025/Crepin IBOUILI IBOUILI</t>
  </si>
  <si>
    <t>Paiement salaire du mois de Janvier 2025/Merveille MAHANGA</t>
  </si>
  <si>
    <t>Paiement salaire du mois de Janvier 2025 et congé/PINDI BINGA Donald-Roméo</t>
  </si>
  <si>
    <t>Paiement salaire du mois de Janvier 2025/BOUNGOU Abraham</t>
  </si>
  <si>
    <t>Paiement salaire du mois de Janvier 2025/FOUMBA Roderlin</t>
  </si>
  <si>
    <t>Paiement salaire du mois de Janvier 2025/Evariste LELOUSSI</t>
  </si>
  <si>
    <t>Frais de virement salaire Janvier 2025</t>
  </si>
  <si>
    <t>Reglement honoraire du mois de Janvier 2025/G12</t>
  </si>
  <si>
    <t>Reglement honoraire du mois de Janvier 2025/T73</t>
  </si>
  <si>
    <t>Reglement honoraire du mois de Janvier 2025/P29</t>
  </si>
  <si>
    <t>Reglement honoraire du mois de Janvier 2025/TIT87</t>
  </si>
  <si>
    <t>Legal</t>
  </si>
  <si>
    <t>Office</t>
  </si>
  <si>
    <t>Management</t>
  </si>
  <si>
    <t>Media</t>
  </si>
  <si>
    <t>Investigation</t>
  </si>
  <si>
    <t>Type de depense</t>
  </si>
  <si>
    <t>Lawyer Fees</t>
  </si>
  <si>
    <t>Versement</t>
  </si>
  <si>
    <t>Grant</t>
  </si>
  <si>
    <t>Rent &amp; Utilities</t>
  </si>
  <si>
    <t>Personnel</t>
  </si>
  <si>
    <t>Bank fees</t>
  </si>
  <si>
    <t>BQ-J-R1</t>
  </si>
  <si>
    <t>BQ-J-R2</t>
  </si>
  <si>
    <t>BQ-J-G1</t>
  </si>
  <si>
    <t>BQ-J-R3</t>
  </si>
  <si>
    <t>BQ-J-R4</t>
  </si>
  <si>
    <t>BQ-J-R5</t>
  </si>
  <si>
    <t>BQ-J-R6</t>
  </si>
  <si>
    <t>BQ-J-R7</t>
  </si>
  <si>
    <t>BQ-J-R8</t>
  </si>
  <si>
    <t>BQ-J-R9</t>
  </si>
  <si>
    <t>BQ-J-R10</t>
  </si>
  <si>
    <t>BQ-J-R11</t>
  </si>
  <si>
    <t>BQ-J-R12</t>
  </si>
  <si>
    <t>BQ-J-R13</t>
  </si>
  <si>
    <t>BQ-J-R14</t>
  </si>
  <si>
    <t>BQ-J-R15</t>
  </si>
  <si>
    <t>BQ-J-R16</t>
  </si>
  <si>
    <t>BQ-J-R17</t>
  </si>
  <si>
    <t>BQ-J-R18</t>
  </si>
  <si>
    <t>BCI</t>
  </si>
  <si>
    <t>Receved in XAF</t>
  </si>
  <si>
    <t>Spent  in XAF</t>
  </si>
  <si>
    <t>Achat credit MTN/Benin pour internet  et communication</t>
  </si>
  <si>
    <t>Telephone</t>
  </si>
  <si>
    <t>DOVI</t>
  </si>
  <si>
    <t>DH-J-R1</t>
  </si>
  <si>
    <t>Wildcat</t>
  </si>
  <si>
    <t>CONGO</t>
  </si>
  <si>
    <t>Achat credit  teléphonique MTN/PALF/Première partie du mois de Janvier 2025/Office</t>
  </si>
  <si>
    <t>Merveille</t>
  </si>
  <si>
    <t>CA-J-R1</t>
  </si>
  <si>
    <t>Achat credit  teléphonique MTN/PALF/Première partie du mois de Janvier 2025/Legal</t>
  </si>
  <si>
    <t>CA-J-R2</t>
  </si>
  <si>
    <t>Achat credit  teléphonique MTN/PALF/Première partie du mois de Janvier 2025/Investigation</t>
  </si>
  <si>
    <t>CA-J-R3</t>
  </si>
  <si>
    <t>Achat credit  teléphonique MTN/PALF/Première partie du mois de Janvier 2025/Media</t>
  </si>
  <si>
    <t>CA-J-R4</t>
  </si>
  <si>
    <t>Achat credit  teléphonique Airtel/PALF/Première partie du mois de Janvier 2025/Legal</t>
  </si>
  <si>
    <t>CA-J-R5</t>
  </si>
  <si>
    <t>Achat credit  teléphonique Airtel/PALF/Première partie du mois de Janvier 2025/Investigation</t>
  </si>
  <si>
    <t>CA-J-R6</t>
  </si>
  <si>
    <t>Achat credit  teléphonique Airtel/PALF/Première partie du mois de Janvier 2025/Media</t>
  </si>
  <si>
    <t>CA-J-R7</t>
  </si>
  <si>
    <t>Achat eau mineral 10 bidons de 16,5Litres pour le bureau PALF</t>
  </si>
  <si>
    <t>Office Materiels</t>
  </si>
  <si>
    <t>CA-J-R8</t>
  </si>
  <si>
    <t>achat billet: Brazzaville - Owando/T73</t>
  </si>
  <si>
    <t>Transport</t>
  </si>
  <si>
    <t>investigation</t>
  </si>
  <si>
    <t>T73</t>
  </si>
  <si>
    <t>T73-J-R1</t>
  </si>
  <si>
    <t>T73 - CONGO Food Allowance du 07 au 17/01/2025 (10 nuitées) à Owando et Oyo</t>
  </si>
  <si>
    <t>Travel Subsistence</t>
  </si>
  <si>
    <t>T73-J-D1</t>
  </si>
  <si>
    <t>Achat billet d'Avion Retour Cotonou - Brazzaville/DOVI</t>
  </si>
  <si>
    <t>DH-J-R2</t>
  </si>
  <si>
    <t>Frais de transfert d'argent à DOVI</t>
  </si>
  <si>
    <t>Transfert fees</t>
  </si>
  <si>
    <t>CA-J-R9</t>
  </si>
  <si>
    <t>Achat billet brazzaville-owando/P29</t>
  </si>
  <si>
    <t>P29</t>
  </si>
  <si>
    <t>P29-J-R1</t>
  </si>
  <si>
    <t>Achat de Billet Brazzaville-Owando/Romain</t>
  </si>
  <si>
    <t>Romain</t>
  </si>
  <si>
    <t>RM-J-R1</t>
  </si>
  <si>
    <t>Achat billet Brazzaville - Owando/Abraham</t>
  </si>
  <si>
    <t>Abraham</t>
  </si>
  <si>
    <t>AB-J-R1</t>
  </si>
  <si>
    <t>Frais de transfert d'argent à T73</t>
  </si>
  <si>
    <t>Roderlin</t>
  </si>
  <si>
    <t>CA-J-R10</t>
  </si>
  <si>
    <t>Achat billet Brazzaville-Owando/Donald-Roméo</t>
  </si>
  <si>
    <t xml:space="preserve">Transport </t>
  </si>
  <si>
    <t>Donald-Roméo</t>
  </si>
  <si>
    <t>DR-J-R1</t>
  </si>
  <si>
    <t>Billet: Brazzaville-Owando/Crepin</t>
  </si>
  <si>
    <t>Operation</t>
  </si>
  <si>
    <t>Crépin</t>
  </si>
  <si>
    <t>CR-J-R1</t>
  </si>
  <si>
    <t>OAK</t>
  </si>
  <si>
    <t>P29 - CONGO Foodallowance mission du 09 au 17/01/2025 à Owando et Oyo (08 Nuitées)</t>
  </si>
  <si>
    <t>P29-J-D1</t>
  </si>
  <si>
    <t>ROMAIN-CONGO Food Alowance du 09 au 25  janvier à Owando(16 Nuitées)</t>
  </si>
  <si>
    <t>RM-J-D1</t>
  </si>
  <si>
    <t>ABRAHAM - CONGO food allowance du 09 au 17/01/2025 à Owando (08Nuitées)</t>
  </si>
  <si>
    <t>AB-J-D1</t>
  </si>
  <si>
    <t>Frais de transfert d'argent à P29 et Romain</t>
  </si>
  <si>
    <t>CA-J-R11</t>
  </si>
  <si>
    <t>Donald-Roméo - CONGO Food Allowance Mission du  09 au 19/01/2025 à Owando</t>
  </si>
  <si>
    <t>DR-J-D1</t>
  </si>
  <si>
    <t>Achat billet Brazzaville-Owando/Evariste</t>
  </si>
  <si>
    <t>Evariste</t>
  </si>
  <si>
    <t>EV-J-R1</t>
  </si>
  <si>
    <t>CREPIN IBOUILI - CONGO Food-Allowance à Owando du 10 au 25/01/2025/(15 Nuitées)</t>
  </si>
  <si>
    <t>CR-J-D1</t>
  </si>
  <si>
    <t>CA-J-R12</t>
  </si>
  <si>
    <t>Reglement facture d'electricité periode Novembre - Decembre 2024/Bureau PALF</t>
  </si>
  <si>
    <t>CA-J-R13</t>
  </si>
  <si>
    <t>EVARISTE - CONGO Food Allowance du 10 au 17 janvier 2025 mission à Owando (7 nuitées)</t>
  </si>
  <si>
    <t>EV-J-D1</t>
  </si>
  <si>
    <t>CREPIN IBOUILI  - CONGO Frais d'hôtel à Owando du 10 au 13/01/2025 (03 Nuitées)</t>
  </si>
  <si>
    <t>CR-J-R2</t>
  </si>
  <si>
    <t>P29 - CONGO Frais d'hotel du 09 au 13/01/2025 à owando (4 Nuitées)</t>
  </si>
  <si>
    <t>P29-J-R2</t>
  </si>
  <si>
    <t>CA-J-R14</t>
  </si>
  <si>
    <t>Frais de transfert d'argent à Romain,P29 et Donald-Roméo</t>
  </si>
  <si>
    <t>CA-J-R15</t>
  </si>
  <si>
    <t>Raffraichissement et plats avec 03 gendarmes pendant l'attente du top</t>
  </si>
  <si>
    <t>CR-J-R3</t>
  </si>
  <si>
    <t>Achat credit  teléphonique MTN/PALF/Deuxième partie du mois de Janvier 2025/Management</t>
  </si>
  <si>
    <t>CA-J-R17</t>
  </si>
  <si>
    <t>Achat credit  teléphonique MTN/PALF/Deuxième partie du mois de Janvier 2025/Legal</t>
  </si>
  <si>
    <t>CA-J-R18</t>
  </si>
  <si>
    <t>Achat credit  teléphonique MTN/PALF/Deuxième partie du mois de Janvier 2025/Investigation</t>
  </si>
  <si>
    <t>CA-J-R19</t>
  </si>
  <si>
    <t>Achat credit  teléphonique MTN/PALF/Deuxième partie du mois de Janvier 2025/Media</t>
  </si>
  <si>
    <t>CA-J-R20</t>
  </si>
  <si>
    <t>Achat credit  teléphonique Airtel/PALF/Deuxième partie du mois de Janvier 2025/Legal</t>
  </si>
  <si>
    <t>CA-J-R21</t>
  </si>
  <si>
    <t>Achat credit  teléphonique Airtel/PALF/Deuxième partie du mois de Janvier 2025/Investigation</t>
  </si>
  <si>
    <t>CA-J-R22</t>
  </si>
  <si>
    <t>Location véhicule owando-oyo,extraction/après opération</t>
  </si>
  <si>
    <t>P29-J-R3</t>
  </si>
  <si>
    <t>T73- CONGO Frais d'hotel du 07 au 15/01/2025 (08nuitées ) à Owando</t>
  </si>
  <si>
    <t>T73-J-R2</t>
  </si>
  <si>
    <t>Location  1 Taxis pour l'opération (Gendarmerie-Hotel  la Concorde:Aller-Retour)</t>
  </si>
  <si>
    <t>RM-J-R2</t>
  </si>
  <si>
    <t>RM-J-R3</t>
  </si>
  <si>
    <t xml:space="preserve">Rafraichissement en attente opération </t>
  </si>
  <si>
    <t>RM-J-R4</t>
  </si>
  <si>
    <t>ABRAHAM - CONGO frais d'Hôtel (Hôtel Joela) du 09 au 15/01/2025 Owando (06Nuitées)</t>
  </si>
  <si>
    <t>AB-J-R2</t>
  </si>
  <si>
    <t>Rafraîchissement attente op</t>
  </si>
  <si>
    <t>AB-J-R3</t>
  </si>
  <si>
    <t>Achat billet Brazzaville-Dolisie/Rodelin</t>
  </si>
  <si>
    <t>RO-J-R1</t>
  </si>
  <si>
    <t>Frais de mission maitre marie Helène à dolisie du 16 au 18/01/2025</t>
  </si>
  <si>
    <t>Lawyer fees</t>
  </si>
  <si>
    <t>CA-J-R16</t>
  </si>
  <si>
    <t>Achat carburant BJ  pour OP</t>
  </si>
  <si>
    <t>DR-J-R2</t>
  </si>
  <si>
    <t>Raffraichissement OP  à Owando/10  gendarmes et moi</t>
  </si>
  <si>
    <t>DR-J-R3</t>
  </si>
  <si>
    <t>Rafraichissement de mon équipe lors de l'opération</t>
  </si>
  <si>
    <t>EV-J-R2</t>
  </si>
  <si>
    <t>Bonus pour 16 gendarmes ayant participé à l'opération du 15 Janvier 2025 à Owando</t>
  </si>
  <si>
    <t>Bonus</t>
  </si>
  <si>
    <t>CR-J-R4</t>
  </si>
  <si>
    <t>Bonus pour 02 EF ayant participé à l'opération du 15 Janvier 2025 à Owando</t>
  </si>
  <si>
    <t>CR-J-R5</t>
  </si>
  <si>
    <t>Frais de transfert d'argent à Crepin,T73 et Evariste</t>
  </si>
  <si>
    <t>CA-J-R23</t>
  </si>
  <si>
    <t>Achat billet Oyo-Brazzaville(Océan du Nord)/Abraham</t>
  </si>
  <si>
    <t>AB-J-R4</t>
  </si>
  <si>
    <t>RODERLIN-CONGO food allowance du 16 au 18/01/2025 à Dolisie (02 nuitées)</t>
  </si>
  <si>
    <t>RO-J-D1</t>
  </si>
  <si>
    <t>Achat billet Owando-Brazzaville/Evariste</t>
  </si>
  <si>
    <t>EV-J-R3</t>
  </si>
  <si>
    <t>Frais de transfert d'argent à Donald-Roméo et Romain</t>
  </si>
  <si>
    <t>CA-J-R24</t>
  </si>
  <si>
    <t>Frais de mission maitre Alain BANZOUZI du 19 au 22/01/2025 à Owando</t>
  </si>
  <si>
    <t>CA-J-R25</t>
  </si>
  <si>
    <t>P29 - Frais d'hotel du 13 au 17/01/2025  lieu op à owando(pour P29)/04 Nuitées</t>
  </si>
  <si>
    <t>P29-J-R4</t>
  </si>
  <si>
    <t>P29 - Frais d'hotel du 13 au 17/01/2025  lieu op à owando(Pour Crépin)/04 Nuitées</t>
  </si>
  <si>
    <t>P29-J-R5</t>
  </si>
  <si>
    <t>Achat billet oyo-brazzaville/P29</t>
  </si>
  <si>
    <t>P29-J-R6</t>
  </si>
  <si>
    <t>P29 - CONGO Frais d'hotel du 15 au 17/01/2025  à oyo ( 02 Nuitées)</t>
  </si>
  <si>
    <t>P29-J-R7</t>
  </si>
  <si>
    <t>T73 - CONGO Frais d'hotel du 15 au 17/01/2025 (02nuitées ) à Oyo</t>
  </si>
  <si>
    <t>T73-J-R3</t>
  </si>
  <si>
    <t>achat billet : Oyo - Brazzaville /T73</t>
  </si>
  <si>
    <t>T73-J-R4</t>
  </si>
  <si>
    <t>ABRAHAM - CONGO frais d'Hôtel (Hôtel Saint Benoit) du 17 au 17/01/2025 Oyo (02Nuitées)</t>
  </si>
  <si>
    <t>AB-J-R5</t>
  </si>
  <si>
    <t>Cumul frais de Jail visit du mois de Janvier 2025/Roderlin</t>
  </si>
  <si>
    <t>Jail visits</t>
  </si>
  <si>
    <t>RO-J-D2</t>
  </si>
  <si>
    <t>Achat billet Dolisie -Brazzaville /Roderlin</t>
  </si>
  <si>
    <t>RO-J-R2</t>
  </si>
  <si>
    <t>DR-J-R4</t>
  </si>
  <si>
    <t>EVARISTE - CONGO Frais d'hôtel du 10 au 17 janvier 2025 (7 nuitées) à Owando</t>
  </si>
  <si>
    <t>EV-J-R4</t>
  </si>
  <si>
    <t>RODERLIN-CONGO frais d'hôtel du 16 au 18/01/2025 à DOLISIE (02 nuitées)</t>
  </si>
  <si>
    <t>RO-J-R3</t>
  </si>
  <si>
    <t>DONALD-ROMEO - CONGO Frais d'hôtel du 09 au 19/01/2025 à  Owando (Hôtel  Joella)/ 10 Nuitées</t>
  </si>
  <si>
    <t>DR-J-R5</t>
  </si>
  <si>
    <t>Cumul frais de transport local du mois de Janvier 2025/Donald-Roméo</t>
  </si>
  <si>
    <t>DR-J-D2</t>
  </si>
  <si>
    <t>CA-J-R26</t>
  </si>
  <si>
    <t>Prestation de nettoyage Jardin PALF mois de Janvier 2025</t>
  </si>
  <si>
    <t>Services</t>
  </si>
  <si>
    <t>CA-J-R27</t>
  </si>
  <si>
    <t>achat billet : Brazzaville - dolisie/T73</t>
  </si>
  <si>
    <t>T73-J-R5</t>
  </si>
  <si>
    <t>Achat carte sim pour T73</t>
  </si>
  <si>
    <t>Investigation materials</t>
  </si>
  <si>
    <t>T73-J-R16</t>
  </si>
  <si>
    <t>Impréssion de la procédure de la Gendaremrie</t>
  </si>
  <si>
    <t>RM-J-R5</t>
  </si>
  <si>
    <t>Cumul frais de jail visit du mois de Janvier 2025/Romain</t>
  </si>
  <si>
    <t>Jail visit</t>
  </si>
  <si>
    <t>RM-J-D2</t>
  </si>
  <si>
    <t>Bonus media portant sur l'operation du 15/01/2025</t>
  </si>
  <si>
    <t>Bonus to media office</t>
  </si>
  <si>
    <t>CA-J-D1</t>
  </si>
  <si>
    <t>IT87 - CONGO Food Allowance mission du 22 au 30/01/2025 à Mouyondzi, Kolo, Bouansa et Madingou/(08 Nuitées)</t>
  </si>
  <si>
    <t>IT87</t>
  </si>
  <si>
    <t>IT87-J-D1</t>
  </si>
  <si>
    <t>Achat billet Brazzaville - Mouyondzi/ IT87</t>
  </si>
  <si>
    <t>IT87-J-R1</t>
  </si>
  <si>
    <t>Achat billet brazzaville-dolisie/P29</t>
  </si>
  <si>
    <t>P29-J-R8</t>
  </si>
  <si>
    <t>P29 - CONGO Foodallowance mission du 22 au 30/01/2025 à Dolisie,Kimongo,Louvakou et ditadi (08 Nuitées)</t>
  </si>
  <si>
    <t>P29-J-D2</t>
  </si>
  <si>
    <t>T73 - CONGO Food Allowance du 22 au 30/01/2025 (08nuitées) à Dolisie,Kibangou,Mbanda et Passi passi</t>
  </si>
  <si>
    <t>T73-J-D2</t>
  </si>
  <si>
    <t>Achat billet: Brazzaville - dolisie / G12</t>
  </si>
  <si>
    <t>G12</t>
  </si>
  <si>
    <t>G12-J-R1</t>
  </si>
  <si>
    <t>G12 - CONGO Food Allowance du 22  au 30 /01/2025 (08nuitées)</t>
  </si>
  <si>
    <t>G12-J-D1</t>
  </si>
  <si>
    <t>Cumul frais de transport local du mois de Janvier 2025/Abraham</t>
  </si>
  <si>
    <t>AB-J-D2</t>
  </si>
  <si>
    <t xml:space="preserve">Frais de transfert d'argent à Romain </t>
  </si>
  <si>
    <t>CA-J-R28</t>
  </si>
  <si>
    <t>Recharge bouteille de gaz de 12KG/Bureau PALF</t>
  </si>
  <si>
    <t>CA-J-R29</t>
  </si>
  <si>
    <t>Frais de notification contrat Roderlin et Abraham</t>
  </si>
  <si>
    <t>CA-J-R31</t>
  </si>
  <si>
    <t>Frais de transfert d'argent à T73,P29,IT87 et G12</t>
  </si>
  <si>
    <t>CA-J-R30</t>
  </si>
  <si>
    <t>Billet: Owando-Brazzaville/Crepin</t>
  </si>
  <si>
    <t>CR-J-R6</t>
  </si>
  <si>
    <t>Taxi : Mouyondzi - Village Kolo/ vérification de l'animal avec la cible</t>
  </si>
  <si>
    <t>IT87-J-R2</t>
  </si>
  <si>
    <t>Taxi : Village Kolo - Mouyondzi/ Retour de la vérification avec la cible</t>
  </si>
  <si>
    <t>IT87-J-R3</t>
  </si>
  <si>
    <t>P29 - CONGO Frais d'hotel du 22 au 24/01/2025 à Dolisie (02 Nuitées)</t>
  </si>
  <si>
    <t>P29-J-R9</t>
  </si>
  <si>
    <t>Achat billet Dolisie-kimongo/P29</t>
  </si>
  <si>
    <t>P29-J-R10</t>
  </si>
  <si>
    <t>T73 - CONGO Frais d'hotel du 22 au 24/01/2025 (02nuitées ) à Dolisie</t>
  </si>
  <si>
    <t>T73-J-R6</t>
  </si>
  <si>
    <t>Achat billet: dolisie - Mbanda/T73</t>
  </si>
  <si>
    <t>T73-J-R7</t>
  </si>
  <si>
    <t xml:space="preserve"> G12 - CONGO frais d'hotel du 22au 24 /01/2025 à Dolisie ( 2 nuitées)</t>
  </si>
  <si>
    <t>G12-J-R2</t>
  </si>
  <si>
    <t>Achat billet : Dolisie - mossendjo/G12</t>
  </si>
  <si>
    <t>G12-J-R3</t>
  </si>
  <si>
    <t>Achat de Billet Owando-Brazzaville/Romain</t>
  </si>
  <si>
    <t>CREPIN IBOUILI  - CONGO Frais d'hôtel à Owando du 15 au 25/01/2025/10 Nuitées</t>
  </si>
  <si>
    <t>CR-J-R7</t>
  </si>
  <si>
    <t>Cumul frais de transport local du mois de Janvier 2025/Crepin</t>
  </si>
  <si>
    <t>CR-J-D2</t>
  </si>
  <si>
    <t>ROMAIN - CONGO Frais d'hôtel de la mission du 09 au 25/2025 à Owando(16 nuitées)</t>
  </si>
  <si>
    <t>RM-J-R7</t>
  </si>
  <si>
    <t>IT87 - CONGO Frais d'hôtel DZA-MATSAKA du 22 au 26/01/2025 à Mouyondzi (04 nuitées)</t>
  </si>
  <si>
    <t>IT87-J-R4</t>
  </si>
  <si>
    <t>Achat billet Mouyondzi - Bouansa/ IT87</t>
  </si>
  <si>
    <t>IT87-J-R5</t>
  </si>
  <si>
    <t>P29 - CONGO Frais d'hotel du 24 au 26/01/2025 à kimongo ( 02 Nuitées)</t>
  </si>
  <si>
    <t>P29-J-R11</t>
  </si>
  <si>
    <t>Achat billet kimongo-dolisie/P29</t>
  </si>
  <si>
    <t>P29-J-R12</t>
  </si>
  <si>
    <t>Achat billet dolisie-louvakou/P29</t>
  </si>
  <si>
    <t>P29-J-R13</t>
  </si>
  <si>
    <t>T73 - CONGO Frais d'hotel du 24 au 26/01/2025 (02nuitées ) à MBanda</t>
  </si>
  <si>
    <t>T73-J-R8</t>
  </si>
  <si>
    <t>achat billet : MBanda - kibangou/T73</t>
  </si>
  <si>
    <t>T73-J-R9</t>
  </si>
  <si>
    <t>G12 congo frais d'hotel du 24 au 26/01/2025   à mossendjo(2nuitées)</t>
  </si>
  <si>
    <t>G12-J-R4</t>
  </si>
  <si>
    <t>Achat billet :Mossendjo makabana/G12</t>
  </si>
  <si>
    <t>G12-J-R5</t>
  </si>
  <si>
    <t>Prime de fin d'année Donald-Roméo</t>
  </si>
  <si>
    <t>CA-J-D2</t>
  </si>
  <si>
    <t>Cumul frais de trust building du mois de Janvier 2025/IT87</t>
  </si>
  <si>
    <t>Trust Building</t>
  </si>
  <si>
    <t>IT87-J-D2</t>
  </si>
  <si>
    <t>Cumul frais de trust building du mois de Janvier 2025/G12</t>
  </si>
  <si>
    <t>Trust building</t>
  </si>
  <si>
    <t>G12-J-D2</t>
  </si>
  <si>
    <t>Bonus du mois de Janvier 2025/Donald-Roméo</t>
  </si>
  <si>
    <t>CA-J-D3</t>
  </si>
  <si>
    <t>Bonus Opération du 15/01/2025 à Owando</t>
  </si>
  <si>
    <t>CA-J-D4</t>
  </si>
  <si>
    <t>Paiement retraite Coordinateur periode Octobre,Novembre et Decembre 2024</t>
  </si>
  <si>
    <t>CA-J-R33</t>
  </si>
  <si>
    <t>IT87 - CONGO Frais d'hôtel le Point de Repère du 26 au 28/01/2025 à Bouansa (02 Nuitées)</t>
  </si>
  <si>
    <t>IT87-J-R6</t>
  </si>
  <si>
    <t>Achat billet Bouansa - Madingou/ IT87</t>
  </si>
  <si>
    <t>IT87-J-R7</t>
  </si>
  <si>
    <t>P29 - CONGO Frais d'hotel du 26 au 28/01/2025 à louvakou (02 Nuitées)</t>
  </si>
  <si>
    <t>P29-J-R14</t>
  </si>
  <si>
    <t>Achat billet louvakou-ditadi/P29</t>
  </si>
  <si>
    <t>P29-J-R15</t>
  </si>
  <si>
    <t>T73 - CONGO Frais d'hotel du 26 au 28/01/2025 (02nuitées ) à Kibangou</t>
  </si>
  <si>
    <t>T73-J-R10</t>
  </si>
  <si>
    <t>Achat billet : kibangou - Passi Passi/T73</t>
  </si>
  <si>
    <t>T73-J-R11</t>
  </si>
  <si>
    <t>G12 - CONGO frais d'hotel du 26 au 28 /01/2025  à makabana (2nuitées)</t>
  </si>
  <si>
    <t>G12-J-R6</t>
  </si>
  <si>
    <t>Achat du billet makabana  - mila mila/G12</t>
  </si>
  <si>
    <t>G12-J-R7</t>
  </si>
  <si>
    <t>Achat carburant 100litre de Gazoil/Groupe electrogène PALF</t>
  </si>
  <si>
    <t>CA-J-R32</t>
  </si>
  <si>
    <t>Règlement prestation technicienne de surface (mois de Janvier 2025)</t>
  </si>
  <si>
    <t>CA-J-R34</t>
  </si>
  <si>
    <t>P29 - CONGO Frais d'hotel du 28 au 29/01/2025 à Ditadi/ 01 Nuitée</t>
  </si>
  <si>
    <t>P29-J-R16</t>
  </si>
  <si>
    <t>Achat billet ditadi-dolisie/P29</t>
  </si>
  <si>
    <t>P29-J-R17</t>
  </si>
  <si>
    <t>Cumul frais de trust building du mois de Janvier 2025/P29</t>
  </si>
  <si>
    <t>P29-J-D3</t>
  </si>
  <si>
    <t>Achat  billet : Passi Passi pour Dolisie/T73</t>
  </si>
  <si>
    <t>T73-J-R12</t>
  </si>
  <si>
    <t>T73 - CONGO Frais d'hotel du 28 au 29/01/2025 (01nuitée ) à Passi Passi</t>
  </si>
  <si>
    <t>T73-J-R13</t>
  </si>
  <si>
    <t>Cumul frais de trust building du mois de Janvier 2025/T73</t>
  </si>
  <si>
    <t>T73-J-D3</t>
  </si>
  <si>
    <t>G12-CONGO frais d'hotel du 28 au 29 /01/2025 à  mila mila( 1 nuitée)</t>
  </si>
  <si>
    <t>G12-J-R8</t>
  </si>
  <si>
    <t>Achat du billet mila mila -dolisie/G12</t>
  </si>
  <si>
    <t>G12-J-R9</t>
  </si>
  <si>
    <t>G12 - CONGO frais d'hotel du 29 au 30 /01/2025 à  Dolisie( 1 nuitée)</t>
  </si>
  <si>
    <t>G12-J-R10</t>
  </si>
  <si>
    <t>IT87 - CONGO Frais d'hôtel Dzongo Benoit du 28 au 30/01/2025 à Madingou (02 Nuitées)</t>
  </si>
  <si>
    <t>IT87-J-R8</t>
  </si>
  <si>
    <t>Achat billet Madingou - Brazzaville/ IT87</t>
  </si>
  <si>
    <t>IT87-J-R9</t>
  </si>
  <si>
    <t>Cumul frais de transport local du mois de Janvier 2025/IT87</t>
  </si>
  <si>
    <t>IT87-J-D3</t>
  </si>
  <si>
    <t>Achat billet Dolisie-Brazzaville/P29</t>
  </si>
  <si>
    <t>P29-J-R18</t>
  </si>
  <si>
    <t>P29 - CONGO Frais d'hotel du 29 au 30/01/2025 à Dolisie (01 Nuitée)</t>
  </si>
  <si>
    <t>P29-J-R19</t>
  </si>
  <si>
    <t>Cumul frais de transport local du mois de Janvier 2025/P29</t>
  </si>
  <si>
    <t>P29-J-D4</t>
  </si>
  <si>
    <t>T73 - CONGO Frais d'hotel du 29 au 30/01/2025 (01nuitées ) à Dolisie</t>
  </si>
  <si>
    <t>T73-J-R14</t>
  </si>
  <si>
    <t>Achat billet : Dolisie - Brazzaville/ T73</t>
  </si>
  <si>
    <t>T73-J-R15</t>
  </si>
  <si>
    <t>Cumul frais de transport local du mois de Janvier 2025/T73</t>
  </si>
  <si>
    <t>T73-J-D4</t>
  </si>
  <si>
    <t>Achat billet : Dolisie - brazzaville/G12</t>
  </si>
  <si>
    <t>G12-J-R11</t>
  </si>
  <si>
    <t>Cumul frais de transport local du mois Janvier 2025/G12</t>
  </si>
  <si>
    <t>G12-J-D3</t>
  </si>
  <si>
    <t>Cumul frais de transport local du mois de Janvier 2025/Roderlin</t>
  </si>
  <si>
    <t>RO-J-D3</t>
  </si>
  <si>
    <t>Cumul frais de transport local du mois de Janvier 2025/EVARISTE</t>
  </si>
  <si>
    <t>EV-J-D2</t>
  </si>
  <si>
    <t>Bonus media portant sur le bilan des interpellation de 2023 et 2024</t>
  </si>
  <si>
    <t>CA-J-D5</t>
  </si>
  <si>
    <t>Cumul frais de transport local du mois de Janvier 2025/DOVI</t>
  </si>
  <si>
    <t>DH-J-D1</t>
  </si>
  <si>
    <t>Reglement loyer du mois de Janvier 2025/DOVI Coordinateur PALF</t>
  </si>
  <si>
    <t>personnel</t>
  </si>
  <si>
    <t>DH-J-R3</t>
  </si>
  <si>
    <t>Cumul frais de transport local du mois de Janvier 2025/Merveille</t>
  </si>
  <si>
    <t>ME-J-D1</t>
  </si>
  <si>
    <t>Ramassage Ordure/bureau PALF</t>
  </si>
  <si>
    <t>CA-J-R35</t>
  </si>
  <si>
    <t>Reglement facture internet perionde du 01/02 au 28/02/2025 bureau PALF</t>
  </si>
  <si>
    <t xml:space="preserve">Internet </t>
  </si>
  <si>
    <t>CA-J-R36</t>
  </si>
  <si>
    <t>Cumul frais de transport local du mois de Janvier 2025/LOUNDOU Jean Romain</t>
  </si>
  <si>
    <t>RM-J-D3</t>
  </si>
  <si>
    <t>Installation Pack office et activation et installation des pratiques logiques</t>
  </si>
  <si>
    <t>Website and software</t>
  </si>
  <si>
    <t>CA-J-R37</t>
  </si>
  <si>
    <t>Donald-Romeo</t>
  </si>
  <si>
    <t>Crepin</t>
  </si>
  <si>
    <t>Donors 2025</t>
  </si>
  <si>
    <t>Rufford</t>
  </si>
  <si>
    <t>Wildcat  2024</t>
  </si>
  <si>
    <t>Dovi</t>
  </si>
  <si>
    <t>I55S</t>
  </si>
  <si>
    <t>Investigations</t>
  </si>
  <si>
    <t>I73X</t>
  </si>
  <si>
    <t>COMPTA DOVI - Coordinateur</t>
  </si>
  <si>
    <t>Détails dépenses</t>
  </si>
  <si>
    <t>Types dépenses (Personnel, Bonus/ Lawyer Bonus, Travel Expenses, Travel subsistence, Office Materials,Rent &amp; Utilities, Services,Telephone, Internet,Bonus,Trust building, Bank charges,Transfer fees, Jail Visits, Editing Costs,Equipment, Publications, Cour</t>
  </si>
  <si>
    <t>Département (Investigations, Legal, Operations, Media, Management, CCU, EAGLE Family, Policy &amp; External relations)</t>
  </si>
  <si>
    <t>Montant reçu</t>
  </si>
  <si>
    <t>Montant dépensé</t>
  </si>
  <si>
    <t>Nom</t>
  </si>
  <si>
    <t>Reçu</t>
  </si>
  <si>
    <t>COMPTA Crepin - Assistant à la Coordination</t>
  </si>
  <si>
    <t>Reçu de caisse/Crepin</t>
  </si>
  <si>
    <t>Légal</t>
  </si>
  <si>
    <t>Opération</t>
  </si>
  <si>
    <t>Travel subsistence</t>
  </si>
  <si>
    <t>Retour caisse/Crepin</t>
  </si>
  <si>
    <t>COMPTA MERVEILLE-Comptable</t>
  </si>
  <si>
    <t>Reçu caisse/Merveille</t>
  </si>
  <si>
    <t xml:space="preserve">COMPTA IT87 (Daniel) - Consultant Enquêteur </t>
  </si>
  <si>
    <t xml:space="preserve">COMPTA P29 (Bourgeois) - Consultant Enquêteur </t>
  </si>
  <si>
    <t xml:space="preserve">COMPTA T73 (Trésor) - Consultant Enquêteur </t>
  </si>
  <si>
    <t>COMPTA G12(&gt;&gt;&gt;&gt;) - Consultante Enquêtrice</t>
  </si>
  <si>
    <t>Reçu de caisse/G12</t>
  </si>
  <si>
    <t>COMPTA Romain-Juriste</t>
  </si>
  <si>
    <t>COMPTA Abraham-Juriste</t>
  </si>
  <si>
    <t>Reçu caisse/Abraham</t>
  </si>
  <si>
    <t>COMPTA Roderlin-Juriste</t>
  </si>
  <si>
    <t>Reçu caisse/Roderlin</t>
  </si>
  <si>
    <t>legal</t>
  </si>
  <si>
    <t>Balalce</t>
  </si>
  <si>
    <t>COMPTA Evariste - Chargé Media</t>
  </si>
  <si>
    <t>Étiquettes de colonnes</t>
  </si>
  <si>
    <t>Étiquettes de lignes</t>
  </si>
  <si>
    <t>Total général</t>
  </si>
  <si>
    <t>(vide)</t>
  </si>
  <si>
    <t>Somme de Spent  in XAF</t>
  </si>
  <si>
    <t xml:space="preserve">Somme de Spent </t>
  </si>
  <si>
    <t>Type de Depenses</t>
  </si>
  <si>
    <t>Somme de Received</t>
  </si>
  <si>
    <t>returned to caisse</t>
  </si>
  <si>
    <t>Receved  $</t>
  </si>
  <si>
    <t>Somme de Spent in $</t>
  </si>
  <si>
    <t>Somme de Receved in XAF</t>
  </si>
  <si>
    <t>Somme de Receved  $</t>
  </si>
  <si>
    <t>Old closed grats</t>
  </si>
  <si>
    <t>Reglement facture d'hotel Eric ONA du 07 au 14/01/2025/(07 Nuitées)</t>
  </si>
  <si>
    <t>Merveille MAHANGA</t>
  </si>
  <si>
    <t>Homéfa DOVI ZENNAWOE</t>
  </si>
  <si>
    <r>
      <t>Balance as per the</t>
    </r>
    <r>
      <rPr>
        <b/>
        <sz val="10"/>
        <color rgb="FFFF0000"/>
        <rFont val="Aptos Narrow"/>
        <family val="2"/>
        <scheme val="minor"/>
      </rPr>
      <t xml:space="preserve"> accounting</t>
    </r>
  </si>
  <si>
    <t>Reglement loyer du mois de Décembre 2024/3654776</t>
  </si>
  <si>
    <t>Received in XAF</t>
  </si>
  <si>
    <t>Received in $</t>
  </si>
  <si>
    <t>Reglement Facture Gardiennage Mois de Décembre 2024/3654775</t>
  </si>
  <si>
    <t>Paiement Honoraire Me LOCKO/Mois de Décembre 2024/3654777</t>
  </si>
  <si>
    <t>Achat billet Owando-Brazzaville/Donald-Roméo</t>
  </si>
  <si>
    <t>Achat encre 216A et registre</t>
  </si>
  <si>
    <t>BQ-F-R1</t>
  </si>
  <si>
    <t>BQ-F-R2</t>
  </si>
  <si>
    <t>Solde honoraire contrat n°81 Owando cas Monick/ Maître BANZOUZI Alain/3654800</t>
  </si>
  <si>
    <t>BQ-F-R3</t>
  </si>
  <si>
    <t>Reglement frais d'assurance multi risque/Bureau PALF</t>
  </si>
  <si>
    <t>BQ-F-R4</t>
  </si>
  <si>
    <t>Reglement loyer du mois de Février 2025/3654804</t>
  </si>
  <si>
    <t>Reçu de la caisse/Evariste</t>
  </si>
  <si>
    <t>Achat billet, Brazzaville-Owando/Evariste</t>
  </si>
  <si>
    <t>EV-F-R1</t>
  </si>
  <si>
    <t>EVARISTE - CONGO Ration du 15 au 28 février 2025, mission d'Owando (13 nuitées)</t>
  </si>
  <si>
    <t>EV-F-D1</t>
  </si>
  <si>
    <t>EV-F-D2</t>
  </si>
  <si>
    <t>EVARISTE - CONGO Frais de l'hôtel du 15 au 25 février 2025 à Owando (10 nuitées)</t>
  </si>
  <si>
    <t>EV-F-R2</t>
  </si>
  <si>
    <t xml:space="preserve">EVARISTE - CONGO Frais de l'hôtel du 25 au 28 février 2025 (3 nuitées) </t>
  </si>
  <si>
    <t>EV-F-R3</t>
  </si>
  <si>
    <t>EV-F-R4</t>
  </si>
  <si>
    <t>Cumul frais de transport local du mois de Février 2025/Evariste</t>
  </si>
  <si>
    <t>EV-F-D3</t>
  </si>
  <si>
    <t>Bonus media portant sur l'audience du 06 Février au TG1 d'Owando</t>
  </si>
  <si>
    <t>CA-F-D1</t>
  </si>
  <si>
    <t>Bonus media portant sur la journée mondiale du Pangolin</t>
  </si>
  <si>
    <t>CA-F-D12</t>
  </si>
  <si>
    <t>Bonus media portant sur l'interpellation de deux présumé trafiquants le 24/02/2025 à Owando</t>
  </si>
  <si>
    <t>CA-F-D13</t>
  </si>
  <si>
    <t>CA-F-R11</t>
  </si>
  <si>
    <t>Achat billet Brazzaville-Owando(Trans bony)/Abraham</t>
  </si>
  <si>
    <t>AB-F-R1</t>
  </si>
  <si>
    <t>Frais de mission maitre Marie Helène NANITELAMION du 12 au 14 Février 2025 à Owando suivi audience</t>
  </si>
  <si>
    <t>CA-F-R13</t>
  </si>
  <si>
    <t>AB-F-D1</t>
  </si>
  <si>
    <t>ABRAHAM - CONGO frais d'Hôtel (Hôtel Case Mbali) du 12 au 15/02/2025 Owando (03Nuitées)</t>
  </si>
  <si>
    <t>AB-F-R2</t>
  </si>
  <si>
    <t>ABRAHAM - CONGO frais d'Hôtel  du 15au 20/02/2025 Owando (05Nuitées)</t>
  </si>
  <si>
    <t>AB-F-R5</t>
  </si>
  <si>
    <t>Rafraîchissement attente OP</t>
  </si>
  <si>
    <t>AB-F-R3</t>
  </si>
  <si>
    <t>Achat médicaments du prévenu Dodo</t>
  </si>
  <si>
    <t>AB-F-R4</t>
  </si>
  <si>
    <t>Cumul frais de jail visits du mois de Février 2025/Abraham</t>
  </si>
  <si>
    <t>AB-F-D2</t>
  </si>
  <si>
    <t>CREPIN - CONGO Ration du 15/02/ au 05/03/2025 à Owando (18 nuitées)</t>
  </si>
  <si>
    <t>CR-F-D1</t>
  </si>
  <si>
    <t>CR-F-R2</t>
  </si>
  <si>
    <t>Plats et raffraichissements</t>
  </si>
  <si>
    <t>CR-F-R3</t>
  </si>
  <si>
    <t>01 bidon d'eau de 10 litres pour les OPJ sous instruction du Coordinateur</t>
  </si>
  <si>
    <t>CR-F-D2</t>
  </si>
  <si>
    <t>Bonus pour 18 Gendarmes ayant participé à l'opération du 24/02/2025  à Owando</t>
  </si>
  <si>
    <t>CR-F-R4</t>
  </si>
  <si>
    <t>Bonus pour 02 EF ayant participé à l'opération du 24/02/2025  à Owando</t>
  </si>
  <si>
    <t>CR-F-R5</t>
  </si>
  <si>
    <t>Cumul frais de transport local du mois de Février 2025/Crepin IBOUILI IBOUILI</t>
  </si>
  <si>
    <t>CR-F-D3</t>
  </si>
  <si>
    <t>CR-F-R1</t>
  </si>
  <si>
    <t>Achat credit  teléphonique MTN/PALF/Première partie du mois de Février 2025/Management</t>
  </si>
  <si>
    <t>CA-F-R1</t>
  </si>
  <si>
    <t>Achat credit  teléphonique MTN/PALF/Première partie du mois de Février 2025/Legal</t>
  </si>
  <si>
    <t>CA-F-R2</t>
  </si>
  <si>
    <t>Achat credit  teléphonique MTN/PALF/Première partie du mois de Février 2025/Investigation</t>
  </si>
  <si>
    <t>CA-F-R3</t>
  </si>
  <si>
    <t>Achat credit  teléphonique MTN/PALF/Première partie du mois de Février 2025/Media</t>
  </si>
  <si>
    <t>CA-F-R4</t>
  </si>
  <si>
    <t>Achat credit  teléphonique Airtel/PALF/Première partie du mois de Février 2025/Legal</t>
  </si>
  <si>
    <t>CA-F-R5</t>
  </si>
  <si>
    <t>Achat credit  teléphonique Airtel/PALF/Première partie du mois de Février 2025/Investigation</t>
  </si>
  <si>
    <t>CA-F-R6</t>
  </si>
  <si>
    <t>Achat credit  teléphonique Airtel/PALF/Première partie du mois de Février 2025/Media</t>
  </si>
  <si>
    <t>CA-F-R7</t>
  </si>
  <si>
    <t>Frais de mission maitre Alain BANZOUZI du 05 au 07 Février 2025 à Owando suivi audience</t>
  </si>
  <si>
    <t>CA-F-R8</t>
  </si>
  <si>
    <t>Achat eau mineral 16 LITRES/Bureau</t>
  </si>
  <si>
    <t>CA-F-R9</t>
  </si>
  <si>
    <t>Achat produit d'entretien lait,sucre,javel,papier toilette,sucre,café/Bureau PALF</t>
  </si>
  <si>
    <t>CA-F-R10</t>
  </si>
  <si>
    <t>Frais de transfert d'argent à G12</t>
  </si>
  <si>
    <t>CA-F-R12</t>
  </si>
  <si>
    <t>Frais de transfert d'argent à P29</t>
  </si>
  <si>
    <t>CA-F-R14</t>
  </si>
  <si>
    <t>Bonus du mois de Janvier 2025/Merveille</t>
  </si>
  <si>
    <t>CA-F-D2</t>
  </si>
  <si>
    <t>Bonus du mois de Janvier 2025/Crepin</t>
  </si>
  <si>
    <t>CA-F-D3</t>
  </si>
  <si>
    <t>Bonus du mois de Janvier 2025/Romain</t>
  </si>
  <si>
    <t>CA-F-D4</t>
  </si>
  <si>
    <t>Bonus du mois de Janvier 2025/Abraham</t>
  </si>
  <si>
    <t>CA-F-D5</t>
  </si>
  <si>
    <t>Bonus du mois de Janvier 2025/Roderlin</t>
  </si>
  <si>
    <t>CA-F-D6</t>
  </si>
  <si>
    <t>Bonus du mois de Janvier 2025/Evariste</t>
  </si>
  <si>
    <t>CA-F-D7</t>
  </si>
  <si>
    <t>Bonus opération du 15/01/2025 à Owando/Crepin</t>
  </si>
  <si>
    <t>CA-F-D8</t>
  </si>
  <si>
    <t>Bonus opération du 15/01/2025 à Owando/Romain</t>
  </si>
  <si>
    <t>CA-F-D9</t>
  </si>
  <si>
    <t>Bonus opération du 15/01/2025 à Owando/Abraham</t>
  </si>
  <si>
    <t>CA-F-D10</t>
  </si>
  <si>
    <t>Bonus opération du 15/01/2025 à Owando/Evariste</t>
  </si>
  <si>
    <t>CA-F-D11</t>
  </si>
  <si>
    <t>CA-F-R15</t>
  </si>
  <si>
    <t>Frais de mission maitre Alain BANZOUZI du 13 au 15 Février 2025 à Sibiti/suivi audience</t>
  </si>
  <si>
    <t>CA-F-R16</t>
  </si>
  <si>
    <t>CA-F-R17</t>
  </si>
  <si>
    <t>CA-F-R18</t>
  </si>
  <si>
    <t>Parfaite</t>
  </si>
  <si>
    <t>Bonus à un informateur en RDC</t>
  </si>
  <si>
    <t>Frais de transfert d'argent à T73,P29 et Abraham</t>
  </si>
  <si>
    <t>CA-F-R19</t>
  </si>
  <si>
    <t>Achat credit  teléphonique MTN/PALF/Deuxième partie du mois de Février 2025/Management</t>
  </si>
  <si>
    <t>CA-F-R20</t>
  </si>
  <si>
    <t>Achat credit  teléphonique MTN/PALF/Deuxième partie du mois de Février 2025/Legal</t>
  </si>
  <si>
    <t>CA-F-R21</t>
  </si>
  <si>
    <t>Achat credit  teléphonique MTN/PALF/Deuxième partie du mois de Février 2025/Investigation</t>
  </si>
  <si>
    <t>CA-F-R22</t>
  </si>
  <si>
    <t>Achat credit  teléphonique MTN/PALF/Deuxième partie du mois de Février 2025/Media</t>
  </si>
  <si>
    <t>CA-F-R23</t>
  </si>
  <si>
    <t>CA-F-R24</t>
  </si>
  <si>
    <t>Achat credit  teléphonique Airtel/PALF/Deuxième partie du mois de Février 2025/Legal</t>
  </si>
  <si>
    <t>CA-F-R25</t>
  </si>
  <si>
    <t>Achat credit téléphonique pour P29/Appel trust à l'international</t>
  </si>
  <si>
    <t>CA-F-R26</t>
  </si>
  <si>
    <t>Frais de transfert d'argent à Crepin</t>
  </si>
  <si>
    <t>CA-F-R27</t>
  </si>
  <si>
    <t>Frais de mission maitre BANZOUZI à Owando du 19 au 21/02/205 suivi audience cas MONICK</t>
  </si>
  <si>
    <t>CA-F-R28</t>
  </si>
  <si>
    <t>CA-F-R29</t>
  </si>
  <si>
    <t>Frais de transfert bonus à informateur</t>
  </si>
  <si>
    <t>CA-F-R30</t>
  </si>
  <si>
    <t>Frais de transfert d'argent à Abraham</t>
  </si>
  <si>
    <t>CA-F-R31</t>
  </si>
  <si>
    <t>CA-F-R32</t>
  </si>
  <si>
    <t>CA-F-R43</t>
  </si>
  <si>
    <t>DOVI/Retour caisse</t>
  </si>
  <si>
    <t>CA-F-R33</t>
  </si>
  <si>
    <t>Achat credit téléphonique pour le coordinateur</t>
  </si>
  <si>
    <t>CA-F-R34</t>
  </si>
  <si>
    <t>CA-F-R44</t>
  </si>
  <si>
    <t>Frais de mission à Owando de maitre Alain du 27/02 au 04/03/2025</t>
  </si>
  <si>
    <t>CA-F-R35</t>
  </si>
  <si>
    <t>Reglement prestation de nettoyage jardin PALF du mois de Février 2025</t>
  </si>
  <si>
    <t>CA-F-R36</t>
  </si>
  <si>
    <t>Frais de transfert d'argent à IT87</t>
  </si>
  <si>
    <t>CA-F-R37</t>
  </si>
  <si>
    <t>Ramassage ordure du mois Février 2025/Bureau PALF</t>
  </si>
  <si>
    <t>CA-F-R38</t>
  </si>
  <si>
    <t>Frais de transfert d'argent à Romain</t>
  </si>
  <si>
    <t>CA-F-R45</t>
  </si>
  <si>
    <t>Reglement facture internet periode du 01/03 au 31/03/2025 bureau PALF</t>
  </si>
  <si>
    <t>Internet</t>
  </si>
  <si>
    <t>CA-F-R39</t>
  </si>
  <si>
    <t>Règlement prestation technicienne de surface (mois de Février 2025)</t>
  </si>
  <si>
    <t>CA-F-R40</t>
  </si>
  <si>
    <t>Achat fourniture de bureau/Classeurs,stylo,intercalaire,rame papier,surligneur,chemise cartonnée</t>
  </si>
  <si>
    <t>CA-F-R41</t>
  </si>
  <si>
    <t>Frais de carte de travail Parfaite</t>
  </si>
  <si>
    <t>CA-F-R42</t>
  </si>
  <si>
    <t>DH-F-R1</t>
  </si>
  <si>
    <t>Frais de transfert d'argent par western union à l'informateur</t>
  </si>
  <si>
    <t>DH-F-R2</t>
  </si>
  <si>
    <t>DH-F-R3</t>
  </si>
  <si>
    <t>DOVI -CONGO Ration du 15 Février 2025 au 25 Février 2025 soit 10 nuitées</t>
  </si>
  <si>
    <t>DH-F-D1</t>
  </si>
  <si>
    <t>Retour caisse/DOVI</t>
  </si>
  <si>
    <t>Achat billet Owando -Brazzaville/DOVI</t>
  </si>
  <si>
    <t>DH-F-R4</t>
  </si>
  <si>
    <t>DOVI-CONGO Frais d'hôtel du 15 Février 2025 au 25 Février 2025 soit 10 nuitées à Owando(Hôtel Savouret)</t>
  </si>
  <si>
    <t>DH-F-R5</t>
  </si>
  <si>
    <t>Cumul frais de transport local du mois de Février 2025/DOVI</t>
  </si>
  <si>
    <t>DH-F-D2</t>
  </si>
  <si>
    <t>Cumul frais de transport local du mois de Février 2025/Merveille</t>
  </si>
  <si>
    <t>ME-F-D1</t>
  </si>
  <si>
    <t>COMPTA PARFAITE-Comptable</t>
  </si>
  <si>
    <t>Reçu caisse/Parfaite</t>
  </si>
  <si>
    <t>Cumul frais de transport local du mois de Février 2025/Parfaite</t>
  </si>
  <si>
    <t>P-F-D1</t>
  </si>
  <si>
    <t>Reçu de caisse/P29</t>
  </si>
  <si>
    <t>Achat billet brazzaville-oyo/P29</t>
  </si>
  <si>
    <t>P29-F-R1</t>
  </si>
  <si>
    <t>P29 - CONGO Ration  du 05 au 28/02/2025 à Oyo,Tchikapika et Owando(23 Nuitées)</t>
  </si>
  <si>
    <t>P29-F-D1</t>
  </si>
  <si>
    <t>Achat billet oyo-tchikapika/P29</t>
  </si>
  <si>
    <t>P29-F-R2</t>
  </si>
  <si>
    <t>P29 - CONGO Frais d'hotel du 05 au 07/02/2025 à oyo(02 Nuitées)</t>
  </si>
  <si>
    <t>P29-F-R3</t>
  </si>
  <si>
    <t>P29 -CONGO Frais d'hotel du 07 au 09/02/2025 à tchikapika(02 Nuitées)</t>
  </si>
  <si>
    <t>P29-F-R4</t>
  </si>
  <si>
    <t>Achat billet tchikapika-ombele/P29</t>
  </si>
  <si>
    <t>P29-F-R5</t>
  </si>
  <si>
    <t>Cumul frais de trust building du mois de Février 2025/P29</t>
  </si>
  <si>
    <t>P29-F-D2</t>
  </si>
  <si>
    <t>P29-F-R6</t>
  </si>
  <si>
    <t>Achat billet ombele-owando/P29</t>
  </si>
  <si>
    <t>P29-F-R7</t>
  </si>
  <si>
    <t>P29 - CONGO Frais hotel du 10 au 24/02/2025 à owando/(14 Nuitées)</t>
  </si>
  <si>
    <t>P29-F-R8</t>
  </si>
  <si>
    <t>Location véhicule extraction owando-oyo/P29</t>
  </si>
  <si>
    <t>P29-F-R9</t>
  </si>
  <si>
    <t>Locaation vehicule 1 pour extraction  du stade à la vouma/P29</t>
  </si>
  <si>
    <t>P29-F-R10</t>
  </si>
  <si>
    <t>Locaation vehicule 2  pour extraction de la vouma station AOGC/P29</t>
  </si>
  <si>
    <t>P29-F-R11</t>
  </si>
  <si>
    <t>P29-F-R12</t>
  </si>
  <si>
    <t>P29-F-R13</t>
  </si>
  <si>
    <t>Achat billet billet oyo-brazzaville/P29</t>
  </si>
  <si>
    <t>P29-F-R14</t>
  </si>
  <si>
    <t>P29 - CONGO Frais d'hotel du 24 au 28/02/2025  à Oyo(04 Nuitées)</t>
  </si>
  <si>
    <t>P29-F-R15</t>
  </si>
  <si>
    <t>Cumul frais de transport local du mois de Février 2025/P29</t>
  </si>
  <si>
    <t>P29-F-D3</t>
  </si>
  <si>
    <t>Achat billet : Brazzaville - Makoua/T73</t>
  </si>
  <si>
    <t>T73-F-R1</t>
  </si>
  <si>
    <t>T73 - CONGO Ration du 06 au 28/12/2024 (22nuitées)à Makoua et Owando</t>
  </si>
  <si>
    <t>T73-F-D1</t>
  </si>
  <si>
    <t>T73 - CONGO Frais d'hotel du 06 au 10/02/2025 (04nuitées ) à Makoua</t>
  </si>
  <si>
    <t>T73-F-R2</t>
  </si>
  <si>
    <t>Achat billet : makoua - Owando/T73</t>
  </si>
  <si>
    <t>T73-F-R4</t>
  </si>
  <si>
    <t>Reçu de caisse/T73</t>
  </si>
  <si>
    <t>T73 - CONGO Frais d'hotel du 10 au 22/02/2025 (12 nuitées ) à Owando</t>
  </si>
  <si>
    <t>T73-F-R5</t>
  </si>
  <si>
    <t>Cumul frais de trust building du mois de Février 2025/T73</t>
  </si>
  <si>
    <t>T73-F-D2</t>
  </si>
  <si>
    <t>Retour caisse/T73</t>
  </si>
  <si>
    <t>T73 - CONGO Frais d'hotel du 24 au 28/02/2025 (04 nuitées ) à Oyo</t>
  </si>
  <si>
    <t>T73-F-R6</t>
  </si>
  <si>
    <t>Achat billet : Oyo - Brazzaville /T73</t>
  </si>
  <si>
    <t>T73-F-R7</t>
  </si>
  <si>
    <t>Cumul frais de transport local du mois de Février 2025/T73</t>
  </si>
  <si>
    <t>T73-F-D3</t>
  </si>
  <si>
    <t>Achat billet :Brazzaville -loudima /G12</t>
  </si>
  <si>
    <t>G12-F-R1</t>
  </si>
  <si>
    <t>G12-F-D1</t>
  </si>
  <si>
    <t>Achat billet: Loudima - sibiti/G12</t>
  </si>
  <si>
    <t>G12-F-R2</t>
  </si>
  <si>
    <t>G12 Congo frais d'hotel du 08 au 11/02/2025   à sibiti (3 nuitées)</t>
  </si>
  <si>
    <t>G12-F-R3</t>
  </si>
  <si>
    <t>Achat billet sibiti - loudima /G12</t>
  </si>
  <si>
    <t>G12-F-R4</t>
  </si>
  <si>
    <t>Achat billet loudima -nkayi / G12</t>
  </si>
  <si>
    <t>G12-F-R5</t>
  </si>
  <si>
    <t>G12-CONGO  frais d'hotel du 11 au 13 /02 / 2025 à nkayi (2nuitées)</t>
  </si>
  <si>
    <t>G12-F-R6</t>
  </si>
  <si>
    <t>Achat billet nkayi - madingou/G12</t>
  </si>
  <si>
    <t>G12-F-R7</t>
  </si>
  <si>
    <t>Cumul frais de trust building du mois de Février 2025/G12</t>
  </si>
  <si>
    <t>G12-F-D2</t>
  </si>
  <si>
    <t>Achat billet Madingou - brazzaville/G12</t>
  </si>
  <si>
    <t>G12-F-R8</t>
  </si>
  <si>
    <t>G12 CONGO frais d'hotel du 13 au 15 /02/2025(02 Nuitées)</t>
  </si>
  <si>
    <t>G12-F-R9</t>
  </si>
  <si>
    <t>Cumul frais de transport local du mois Février 2025/G12</t>
  </si>
  <si>
    <t>G12-F-D3</t>
  </si>
  <si>
    <t>Achat  Billet  Brazzaville-Owando/Romain</t>
  </si>
  <si>
    <t>RM-F-R1</t>
  </si>
  <si>
    <t>ROMAIN-CONGO: Ration du 05 au 07/02/2025 à Owando</t>
  </si>
  <si>
    <t>RM-F-D1</t>
  </si>
  <si>
    <t>Achat billet retour Owando-Brazzaville/Romain</t>
  </si>
  <si>
    <t>RM-F-R2</t>
  </si>
  <si>
    <t>ROMAIN - CONGO Frais d'hotel du 05 au 07/02/2025 à Owando(2 nuitées)</t>
  </si>
  <si>
    <t>RM-F-R3</t>
  </si>
  <si>
    <t>Achat Billet Brazzaville-Owando/Romain</t>
  </si>
  <si>
    <t>RM-F-R4</t>
  </si>
  <si>
    <t>RM-F-D2</t>
  </si>
  <si>
    <t>RM-F-R5</t>
  </si>
  <si>
    <t>Carburant BJ Opération</t>
  </si>
  <si>
    <t>RM-F-R6</t>
  </si>
  <si>
    <t>ROMAIN - CONGO - Frais d'hôtel du 15 au 25/02/2025 à Owando(10 Nuitées)</t>
  </si>
  <si>
    <t>RM-F-R8</t>
  </si>
  <si>
    <t>Impréssion de la procédure de la Gendarmerie</t>
  </si>
  <si>
    <t>RM-F-R7</t>
  </si>
  <si>
    <t>Cumul frais de transport local du mois de Février 2025/Romain</t>
  </si>
  <si>
    <t>RM-F-D3</t>
  </si>
  <si>
    <t>Achat billet Brazzaville- Loudima/Roderlin</t>
  </si>
  <si>
    <t>RO-F-R4</t>
  </si>
  <si>
    <t>RODERLIN-CONGO Ration du 13 au 15/02/2025 à Sibiti (02 nuitées)</t>
  </si>
  <si>
    <t>RO-F-D2</t>
  </si>
  <si>
    <t>Achat billet Loudima - Sibiti/Roderlin</t>
  </si>
  <si>
    <t>RO-F-R6</t>
  </si>
  <si>
    <t>Cumul frais de jail visits du mois de Février 2025/Roderlin</t>
  </si>
  <si>
    <t>RO-F-D3</t>
  </si>
  <si>
    <t>RODERLIN-CONGO frais d'hôtel du 13 au 15/02/2025 à Sibiti (02 nuitées)</t>
  </si>
  <si>
    <t>RO-F-R5</t>
  </si>
  <si>
    <t>Taxi: Sibiti-Loudima /Roderlin</t>
  </si>
  <si>
    <t>RO-F-R7</t>
  </si>
  <si>
    <t>Achat billet Loudima-Brazzaville /Roderlin</t>
  </si>
  <si>
    <t>RO-F-R8</t>
  </si>
  <si>
    <t>Cumul frais de transport local du mois de Février 2025/Roderlin</t>
  </si>
  <si>
    <t>RO-F-D4</t>
  </si>
  <si>
    <t xml:space="preserve"> Achat billet Brazzaville- Owando/Roderlin</t>
  </si>
  <si>
    <t>RO-F-R1</t>
  </si>
  <si>
    <t>RODERLIN-CONGO Ration du 05 au 07/02/2025 à Owando (02 nuitées)</t>
  </si>
  <si>
    <t>RO-F-D1</t>
  </si>
  <si>
    <t>Achat billet Owando- Brazzaville /Roderlin</t>
  </si>
  <si>
    <t>RO-F-R2</t>
  </si>
  <si>
    <t>RODERLIN-CONGO frais d'hôtel du 05 au 07/02/2025 à Owando (02 nuitées)</t>
  </si>
  <si>
    <t>RO-F-R3</t>
  </si>
  <si>
    <t>COMPTA Donald-Roméo - Juriste(Congé)</t>
  </si>
  <si>
    <t>Reçu de caisse/ IT87</t>
  </si>
  <si>
    <t>IT87 - CONGO Ration du 05 au 12/02/2025 à Makoua,etoumbi,Otende</t>
  </si>
  <si>
    <t>IT87-F-D1</t>
  </si>
  <si>
    <t>Achat billet Brazzaville - Makoua/ IT87</t>
  </si>
  <si>
    <t>IT87-F-R1</t>
  </si>
  <si>
    <t>Achat billet Makoua - Etoumbi/ IT87</t>
  </si>
  <si>
    <t>IT87 - CONGO Frais d'hôtel Akoua du 05 au 07/02/2025 à Etoumbi (02 nuitées)</t>
  </si>
  <si>
    <t>Achat billet Etoumbi - Makoua/ IT87</t>
  </si>
  <si>
    <t>IT87-F-R2</t>
  </si>
  <si>
    <t>Achat billet Makoua - Otende/ IT87</t>
  </si>
  <si>
    <t>IT87-F-R3</t>
  </si>
  <si>
    <t>IT87 - CONGOFrais d'hôtel le Pépin du 07 au 09/02/2025 à Otende (02 nuitées)</t>
  </si>
  <si>
    <t>IT87-F-R4</t>
  </si>
  <si>
    <t>Achat billet Otende - Oyo/ IT87</t>
  </si>
  <si>
    <t>IT87-F-R5</t>
  </si>
  <si>
    <t>IT87 - CONGO Frais d'hôtel Saint Benoît du 09 au 12/02/2025 à Oyo (03 nuitées)</t>
  </si>
  <si>
    <t>IT87-F-R6</t>
  </si>
  <si>
    <t>Achat billet Oyo - Brazzaville/ IT87</t>
  </si>
  <si>
    <t>IT87 - CONGO Ration du 15 au 22/02/2025 à Madingou, Mouyondzi et Loutété</t>
  </si>
  <si>
    <t>IT87-F-D2</t>
  </si>
  <si>
    <t>Achat billet Brazzaville - Madingou/ IT87</t>
  </si>
  <si>
    <t>IT87-F-R7</t>
  </si>
  <si>
    <t>IT87 - CONGO Frais d'hôtel Dzongo Bénoît du 15 au 18/02/2025 à Madingou (03 nuitées)</t>
  </si>
  <si>
    <t>IT87-F-R8</t>
  </si>
  <si>
    <t>Achat billet Madingou - Mouyondzi/ IT87</t>
  </si>
  <si>
    <t>IT87-F-R9</t>
  </si>
  <si>
    <t>IT87 - CONGO Frais d'hôtel DZA MATSAKA du 18 au 20/02/2025 à Mouyondzi (02 nuitées)</t>
  </si>
  <si>
    <t>IT87-F-R10</t>
  </si>
  <si>
    <t>Achat billet Mouyondzi - Loutété/ IT87</t>
  </si>
  <si>
    <t>IT87-F-R11</t>
  </si>
  <si>
    <t>IT87 - CONGO Frais d'hôtel Clair Matin du 20 au 22/02/2025 à Loutété (02 nuitées)</t>
  </si>
  <si>
    <t>IT87-F-R12</t>
  </si>
  <si>
    <t>Achat billet Loutété - Brazzaville/ IT87</t>
  </si>
  <si>
    <t>IT87-F-R13</t>
  </si>
  <si>
    <t>Achat billet Brazzaville - Loutété/ IT87</t>
  </si>
  <si>
    <t>IT87-F-R14</t>
  </si>
  <si>
    <t>IT87 - CONGO Ration  du 26 au 28/02/2025 à Loutété</t>
  </si>
  <si>
    <t>IT87-F-D3</t>
  </si>
  <si>
    <t>Cumul frais de Trust building du mois de Février 2025/IT87</t>
  </si>
  <si>
    <t>IT87-F-D4</t>
  </si>
  <si>
    <t>IT87 - CONGO Frais d'hôtel Clair Matin du 26 au 28/02/2025 à Loutété (02 nuitées)</t>
  </si>
  <si>
    <t>IT87-F-R15</t>
  </si>
  <si>
    <t>IT87-F-R16</t>
  </si>
  <si>
    <t>Cumul frais de Transport local du mois de Février 2025/IT87</t>
  </si>
  <si>
    <t>IT87-F-D5</t>
  </si>
  <si>
    <t>Cumul frais de transport local du mois de Février 2025/Abraham</t>
  </si>
  <si>
    <t>AB-F-D3</t>
  </si>
  <si>
    <t>CREPIN - CONGO Hébergement à l'hôtel Essebo d'Owando, 07 Nuitées du 15 au 22/02/2025</t>
  </si>
  <si>
    <t>Achat billet Brazzaville-Owando/DOVI</t>
  </si>
  <si>
    <t>G12 - CONGO  Ration du 08 au 15 /02/2025(07 Nuitées)</t>
  </si>
  <si>
    <t>Paiment assurance DOVI/Assistance Evacuation</t>
  </si>
  <si>
    <t>Achat credit  teléphonique Airtel/PALF/Deuxième partie du mois de Février 2025/Investigation</t>
  </si>
  <si>
    <t>P29 - CONGO Frais d'hotel du 09 au 10/02/2025 à ombele (01 Nuitée)</t>
  </si>
  <si>
    <t>Frais de transfert d'argent à P29 et IT87</t>
  </si>
  <si>
    <t>Fonds envoyé à un informateur en RDC pour des informations</t>
  </si>
  <si>
    <t>Fonds envoyé à un informateur  en RDC pour des informations</t>
  </si>
  <si>
    <t>P29 - CONGO Frais de Location d'appartement pour op à owando du 22 au 25/02/2025  (occupé par crepin)/03 Nuitées</t>
  </si>
  <si>
    <t>P29 - CONGO Frais de location d'appartement pour op à Owando du 22 au 25/02/2025  (occupé par T73)/03 Nuitées</t>
  </si>
  <si>
    <t>Paiment assurance DOVI/Individuelle Accidents Corporels</t>
  </si>
  <si>
    <t>Frais de transfert charden farell à Abraham (pour le compte de DOVI et Crépin)</t>
  </si>
  <si>
    <t>févr</t>
  </si>
  <si>
    <t>janv</t>
  </si>
  <si>
    <t>Departement</t>
  </si>
  <si>
    <t>ABRAHAM - CONGO food allowance du 12/02 au 01/03/2025 à Owando (17 Nuitées)</t>
  </si>
  <si>
    <t>Report au 01/03/2025</t>
  </si>
  <si>
    <t>Achat credit  teléphonique MTN/PALF/Première partie du mois de Mars2025/Management</t>
  </si>
  <si>
    <t>Achat credit  teléphonique MTN/PALF/Première partie du mois de Mars 2025/Legal</t>
  </si>
  <si>
    <t>Achat credit  teléphonique MTN/PALF/Première partie du mois de Mars 2025/Investigation</t>
  </si>
  <si>
    <t>Achat credit  teléphonique MTN/PALF/Première partie du mois de Mars 2025/Media</t>
  </si>
  <si>
    <t>Achat credit  teléphonique Airtel/PALF/Première partie du mois de Mars 2025/Legal</t>
  </si>
  <si>
    <t>Achat credit  teléphonique Airtel/PALF/Première partie du mois de Mars 2025/Investigation</t>
  </si>
  <si>
    <t>Achat credit  teléphonique Airtel/PALF/Première partie du mois de Mars 2025/Media</t>
  </si>
  <si>
    <t>Achat 01 telephone Tecno POP 7/ 64GB et 4ROM pour Abraham</t>
  </si>
  <si>
    <t>Equipement</t>
  </si>
  <si>
    <t>Achat 20 ampoules pour le bureau</t>
  </si>
  <si>
    <t>Achat carburant 100 Litres de gazoil groupe electrogène Bureau</t>
  </si>
  <si>
    <t>Retour caisse/P29</t>
  </si>
  <si>
    <t>Bonus operation du 24/02/2025 à Owando/Evariste</t>
  </si>
  <si>
    <t>Bonus operation du 24/02/2025 à Owando/Merveille</t>
  </si>
  <si>
    <t>Bonus du mois de Janvier 2025/Parfaite</t>
  </si>
  <si>
    <t>Bonus operation du 24/02/2025 à Owando/Abraham</t>
  </si>
  <si>
    <t>BCI365820</t>
  </si>
  <si>
    <t>Bonus media portant sur l'interpellation de 2 Présumés trafiquants le 24/02/205 à Owando</t>
  </si>
  <si>
    <t>Paiement salaire des jours travaillés en février 2025/Parfaite</t>
  </si>
  <si>
    <t>Frais de transfert d'argent en RDC</t>
  </si>
  <si>
    <t>Frais de transfert d'argent à Romain et Crepin</t>
  </si>
  <si>
    <t>Complement frais de mission maitre Banzouzi du 04 au 08/03/3035 à Owando</t>
  </si>
  <si>
    <t>Travel Subistence</t>
  </si>
  <si>
    <t>Frais de transport mission maitre Marie Helène à Owando du 05 au 07/03/2025 suivi audience cas EBI</t>
  </si>
  <si>
    <t>Ration et frais d'hotel mission maitre Marie Helène à Owando du 05 au 07/03/2025 suivi audience cas EBI</t>
  </si>
  <si>
    <t>Bonus operation du 24/02/2025 à Owando/Crepin</t>
  </si>
  <si>
    <t>Frais de transfert Bonus à un informateur en RDC</t>
  </si>
  <si>
    <t>Reparation de courcircuit electrique du bureau</t>
  </si>
  <si>
    <t>BCI3654818</t>
  </si>
  <si>
    <t>Bonus du mois de Février 2025/Romain</t>
  </si>
  <si>
    <t>Bonus operation du 24/02/2025 à Owando/Romain</t>
  </si>
  <si>
    <t>Règlement facture électricité piode Janvier-Février2025/bureau PALF</t>
  </si>
  <si>
    <t>Achat de 14 pagnes africain pour la JIF(08Mars)/Bureau PALF</t>
  </si>
  <si>
    <t>Team builiding</t>
  </si>
  <si>
    <t>Achat credit téléphonique MTN pour Donald Roméo periode du 12 au 31/03/2025</t>
  </si>
  <si>
    <t>Donald Roméo</t>
  </si>
  <si>
    <t>Donal Roméo</t>
  </si>
  <si>
    <t>Frais de transfert d'argent à P29 et G12</t>
  </si>
  <si>
    <t>Achat credit  teléphonique MTN/PALF/Deuxième partie du mois de Mars2025/Management</t>
  </si>
  <si>
    <t>Achat credit  teléphonique MTN/PALF/Deuxième partie du mois de Mars 2025/Legal</t>
  </si>
  <si>
    <t>Achat credit  teléphonique MTN/PALF/Deuxième partie du mois de Mars 2025/Investigation</t>
  </si>
  <si>
    <t>Achat credit  teléphonique MTN/PALF/deuxième partie du mois de Mars 2025/Media</t>
  </si>
  <si>
    <t>Achat credit  teléphonique Airtel/PALF/Deuxième partie du mois de Mars 2025/Legal</t>
  </si>
  <si>
    <t>Achat credit  teléphonique Airtel/PALF/Deuxième partie du mois de Mars 2025/Investigation</t>
  </si>
  <si>
    <t>BCI3654838</t>
  </si>
  <si>
    <t>Frais de transport mission maitre Marie Helène à Owando du 19 au 22/03/2025 suivi audience cas EBI</t>
  </si>
  <si>
    <t>Ration et Frais d'hôtel  mission maitre Marie Helène à Owando du 19 au 22/03/2025 suivi audience cas EBI</t>
  </si>
  <si>
    <t>Frais de transport mission à Owando de maitre Alain du 19au 21/03/2025 suivi audience à Owando</t>
  </si>
  <si>
    <t>Ration et Frais d'hôtel mission à Owando de maitre Alain du 19 au 21/03/2025 suivi audience à Owando</t>
  </si>
  <si>
    <t>Frais de transfert d'argent à Crepin, Evariste, Abraham, Romain et Donald-Romeo</t>
  </si>
  <si>
    <t>Achat 05 Cartouche d'encre  HP Laser noire et couleur 216A</t>
  </si>
  <si>
    <t>DOVI/Fond transfert à un informateur en RDC</t>
  </si>
  <si>
    <t>BCI3654826</t>
  </si>
  <si>
    <t>Achat produit d'entretien  et Main d'œuvre du groupe électrogène/Bureau PALF</t>
  </si>
  <si>
    <t>Frais de transfert d'argent  à crepin et IT87</t>
  </si>
  <si>
    <t>Frais de transfert d'argent à  T73 par  momo</t>
  </si>
  <si>
    <t xml:space="preserve">Frais de transport mission à Dolisie de maitre BANZOUZI Alain du 25/03/ au 05/04/2025 suivi audience </t>
  </si>
  <si>
    <t xml:space="preserve">Ration et frais d'hotel mission à Dolisie de maitre BANZOUZI Alain du 25/03/ au 05/04/2025 suivi audience </t>
  </si>
  <si>
    <t>Achat carburant groupe electrogène Bureau</t>
  </si>
  <si>
    <t>Bonus media portant sur l'interpellation de 2 Présumés trafiquants le 22/03/205 à Dolisie</t>
  </si>
  <si>
    <t>ramassage Ordure du mois de Mars 2025/Bureau PALF</t>
  </si>
  <si>
    <t>Frais de transfert d'argent  à crepin et Donald-Roméo</t>
  </si>
  <si>
    <t>Reglement prestation de nettoyage Bureau PALF du mois de Mars 2025</t>
  </si>
  <si>
    <t>BCI3654836</t>
  </si>
  <si>
    <t>Reglement facture internet periode du 01/04 au 30/04/2025 bureau PALF</t>
  </si>
  <si>
    <t>Frais de transfert d'argent à Crepin, Me Alain et Donald-Romeo</t>
  </si>
  <si>
    <t>CA-M-V1</t>
  </si>
  <si>
    <t>CA-M-V2</t>
  </si>
  <si>
    <t>CA-M-V3</t>
  </si>
  <si>
    <t>CA-M-V4</t>
  </si>
  <si>
    <t>CA-M-V5</t>
  </si>
  <si>
    <t>CA-M-V6</t>
  </si>
  <si>
    <t>CA-M-V7</t>
  </si>
  <si>
    <t>CA-M-V8</t>
  </si>
  <si>
    <t>CA-M-V9</t>
  </si>
  <si>
    <t>CA-M-V10</t>
  </si>
  <si>
    <t>CA-M-V11</t>
  </si>
  <si>
    <t>CA-M-V12</t>
  </si>
  <si>
    <t>CA-M-V13</t>
  </si>
  <si>
    <t>CA-M-V14</t>
  </si>
  <si>
    <t>CA-M-V15</t>
  </si>
  <si>
    <t>CA-M-V16</t>
  </si>
  <si>
    <t>CA-M-V17</t>
  </si>
  <si>
    <t>CA-M-V18</t>
  </si>
  <si>
    <t>CA-M-V19</t>
  </si>
  <si>
    <t>CA-M-V20</t>
  </si>
  <si>
    <t>CA-M-V21</t>
  </si>
  <si>
    <t>CA-M-V22</t>
  </si>
  <si>
    <t>CA-M-V23</t>
  </si>
  <si>
    <t>CA-M-V24</t>
  </si>
  <si>
    <t>CA-M-V25</t>
  </si>
  <si>
    <t>CA-M-V26</t>
  </si>
  <si>
    <t>CA-M-V27</t>
  </si>
  <si>
    <t>CA-M-V28</t>
  </si>
  <si>
    <t>CA-M-V29</t>
  </si>
  <si>
    <t>CA-M-V30</t>
  </si>
  <si>
    <t>CA-M-V31</t>
  </si>
  <si>
    <t>CA-M-V32</t>
  </si>
  <si>
    <t>CA-M-V33</t>
  </si>
  <si>
    <t>CA-M-V34</t>
  </si>
  <si>
    <t>CA-M-V35</t>
  </si>
  <si>
    <t>CA-M-V36</t>
  </si>
  <si>
    <t>CA-M-V37</t>
  </si>
  <si>
    <t>CA-M-V38</t>
  </si>
  <si>
    <t>CA-M-V39</t>
  </si>
  <si>
    <t>CA-M-V40</t>
  </si>
  <si>
    <t>CA-M-V41</t>
  </si>
  <si>
    <t>CA-M-V42</t>
  </si>
  <si>
    <t>CA-M-V43</t>
  </si>
  <si>
    <t>CA-M-V44</t>
  </si>
  <si>
    <t>CA-M-V45</t>
  </si>
  <si>
    <t>CA-M-V46</t>
  </si>
  <si>
    <t>CA-M-V47</t>
  </si>
  <si>
    <t>CA-M-V48</t>
  </si>
  <si>
    <t>CA-M-V49</t>
  </si>
  <si>
    <t>CA-M-V50</t>
  </si>
  <si>
    <t>CA-M-V51</t>
  </si>
  <si>
    <t>CA-M-V52</t>
  </si>
  <si>
    <t>CA-M-V53</t>
  </si>
  <si>
    <t>CA-M-V54</t>
  </si>
  <si>
    <t>CA-M-V55</t>
  </si>
  <si>
    <t>CA-M-V56</t>
  </si>
  <si>
    <t>CA-M-V57</t>
  </si>
  <si>
    <t>CA-M-V58</t>
  </si>
  <si>
    <t>CA-M-V59</t>
  </si>
  <si>
    <t>CA-M-V60</t>
  </si>
  <si>
    <t>CA-M-V61</t>
  </si>
  <si>
    <t>CA-M-V62</t>
  </si>
  <si>
    <t>CA-M-V63</t>
  </si>
  <si>
    <t>CA-M-V64</t>
  </si>
  <si>
    <t>CA-M-V65</t>
  </si>
  <si>
    <t>CA-M-V66</t>
  </si>
  <si>
    <t>CA-M-V67</t>
  </si>
  <si>
    <t>CA-M-V68</t>
  </si>
  <si>
    <t>CA-M-V69</t>
  </si>
  <si>
    <t>CA-M-V70</t>
  </si>
  <si>
    <t>CA-M-V71</t>
  </si>
  <si>
    <t>CA-M-V72</t>
  </si>
  <si>
    <t>CA-M-V73</t>
  </si>
  <si>
    <t>CA-M-R1</t>
  </si>
  <si>
    <t>CA-M-R2</t>
  </si>
  <si>
    <t>CA-M-R3</t>
  </si>
  <si>
    <t>CA-M-R4</t>
  </si>
  <si>
    <t>CA-M-R5</t>
  </si>
  <si>
    <t>CA-M-R6</t>
  </si>
  <si>
    <t>CA-M-R7</t>
  </si>
  <si>
    <t>CA-M-R8</t>
  </si>
  <si>
    <t>CA-M-R9</t>
  </si>
  <si>
    <t>CA-M-R10</t>
  </si>
  <si>
    <t>CA-M-R11</t>
  </si>
  <si>
    <t>CA-M-R12</t>
  </si>
  <si>
    <t>CA-M-R13</t>
  </si>
  <si>
    <t>CA-M-R14</t>
  </si>
  <si>
    <t>CA-M-R15</t>
  </si>
  <si>
    <t>CA-M-R16</t>
  </si>
  <si>
    <t>CA-M-R17</t>
  </si>
  <si>
    <t>CA-M-R18</t>
  </si>
  <si>
    <t>CA-M-R19</t>
  </si>
  <si>
    <t>CA-M-R20</t>
  </si>
  <si>
    <t>CA-M-R21</t>
  </si>
  <si>
    <t>CA-M-R22</t>
  </si>
  <si>
    <t>CA-M-R23</t>
  </si>
  <si>
    <t>CA-M-R24</t>
  </si>
  <si>
    <t>CA-M-R25</t>
  </si>
  <si>
    <t>CA-M-R26</t>
  </si>
  <si>
    <t>CA-M-R27</t>
  </si>
  <si>
    <t>CA-M-R28</t>
  </si>
  <si>
    <t>CA-M-R29</t>
  </si>
  <si>
    <t>CA-M-R30</t>
  </si>
  <si>
    <t>CA-M-R31</t>
  </si>
  <si>
    <t>CA-M-R32</t>
  </si>
  <si>
    <t>CA-M-R33</t>
  </si>
  <si>
    <t>CA-M-R34</t>
  </si>
  <si>
    <t>CA-M-R35</t>
  </si>
  <si>
    <t>CA-M-R36</t>
  </si>
  <si>
    <t>CA-M-R37</t>
  </si>
  <si>
    <t>CA-M-R38</t>
  </si>
  <si>
    <t>CA-M-R39</t>
  </si>
  <si>
    <t>CA-M-R40</t>
  </si>
  <si>
    <t>CA-M-R41</t>
  </si>
  <si>
    <t>CA-M-R42</t>
  </si>
  <si>
    <t>CA-M-R43</t>
  </si>
  <si>
    <t>CA-M-R44</t>
  </si>
  <si>
    <t>CA-M-R45</t>
  </si>
  <si>
    <t>CA-M-R46</t>
  </si>
  <si>
    <t>CA-M-R47</t>
  </si>
  <si>
    <t>CA-M-R48</t>
  </si>
  <si>
    <t>CA-M-R49</t>
  </si>
  <si>
    <t>CA-M-R50</t>
  </si>
  <si>
    <t>CA-M-R51</t>
  </si>
  <si>
    <t>CA-M-R52</t>
  </si>
  <si>
    <t>CA-M-R53</t>
  </si>
  <si>
    <t>CA-M-R54</t>
  </si>
  <si>
    <t>CA-M-R55</t>
  </si>
  <si>
    <t>CA-M-D1</t>
  </si>
  <si>
    <t>CA-M-D2</t>
  </si>
  <si>
    <t>CA-M-D3</t>
  </si>
  <si>
    <t>CA-M-D4</t>
  </si>
  <si>
    <t>CA-M-D5</t>
  </si>
  <si>
    <t>CA-M-D6</t>
  </si>
  <si>
    <t>CA-M-D7</t>
  </si>
  <si>
    <t>CA-M-D8</t>
  </si>
  <si>
    <t>CA-M-D9</t>
  </si>
  <si>
    <t>CA-M-D10</t>
  </si>
  <si>
    <t>CA-M-D11</t>
  </si>
  <si>
    <t>CA-M-D12</t>
  </si>
  <si>
    <t>CA-M-D13</t>
  </si>
  <si>
    <t>CA-M-D14</t>
  </si>
  <si>
    <t>CA-M-D15</t>
  </si>
  <si>
    <t>Report de solde du 01/03/2025</t>
  </si>
  <si>
    <t>Paiement salaire du mois de Février 2025/FOUMBA Roderlin/3654808</t>
  </si>
  <si>
    <t>Paiement salaire du mois de Février 2025/BOUNGOU MAKOSSO Abraham</t>
  </si>
  <si>
    <t>Paiement salaire du mois de Février 2025/LOUNDOU JeanRomain/3654807</t>
  </si>
  <si>
    <t>Paiement salaire du mois de Février 2025/Crepin IBOUILI-IBOUILI</t>
  </si>
  <si>
    <t>Paiement salaire du mois de Février 2025/Merveille MAHANGA</t>
  </si>
  <si>
    <t>Paiement salaire du mois de Février 2025/Evariste LELOUSSI</t>
  </si>
  <si>
    <t>Reglement honoraire du mois de Février 2025/T73/3654813</t>
  </si>
  <si>
    <t>Reglement honoraire du mois de Février 2025/P29/3654814</t>
  </si>
  <si>
    <t>Reglement honoraire du mois de Février 2025/IT87/3654815</t>
  </si>
  <si>
    <t>Reglement honoraire du mois de Février 2025/G12/3654816</t>
  </si>
  <si>
    <t>Reglement Facture Gardiennage Mois de Février 2025/3654817</t>
  </si>
  <si>
    <t>Frais de virement salaire février 2025</t>
  </si>
  <si>
    <t>Acompte honoraire contrat N°64_Dolisie cas NZETSI BIMOKO et Consorts/Maitre Marie Hélène NANITELAMIO MALONGA</t>
  </si>
  <si>
    <t>Retrait espèces/3654821</t>
  </si>
  <si>
    <t>RAPATRIEME01100 RAO00010768/CHENE</t>
  </si>
  <si>
    <t>RAPATRIEME01100 RAO00010768/OAT</t>
  </si>
  <si>
    <t>Paiement Honoraire Me LOCKO/Mois de Janvier 2025/3654793</t>
  </si>
  <si>
    <t>Paiement Honoraire Me LOCKO/Mois de Février 2025/3654820</t>
  </si>
  <si>
    <t>Paiement salaire du mois de Février 2025/Homéfa DOVI/3654812</t>
  </si>
  <si>
    <t>Retrait espèces/3654818</t>
  </si>
  <si>
    <t>Virement fonds à CJ</t>
  </si>
  <si>
    <t>Frais de virement de fonds à CJ</t>
  </si>
  <si>
    <t>Paiement congé et jours travaillés en Mars 2025/Merveille MAHANGA</t>
  </si>
  <si>
    <t>Frais de virement salaire Mervielle Mars 2025</t>
  </si>
  <si>
    <t>Solde honoraire contrat N°81_Owando cas MONICK François/Maitre Marie Alain BAZOUNZI</t>
  </si>
  <si>
    <t>Acompte honoraire contrat N°82_Owando cas NGASSAKI Dany et ELOMBO Levy/Maitre Marie Alain BAZOUNZI</t>
  </si>
  <si>
    <t>Retrait espèces/3654838</t>
  </si>
  <si>
    <t>Retrait espèces/365483826</t>
  </si>
  <si>
    <t>Paiement salaire du mois de Mars 2025/Homéfa DOVI/3654835</t>
  </si>
  <si>
    <t>Paiement salaire du mois de Mars 2025/BAVOUMINA NZOUSSI Dina Parfaite/365831</t>
  </si>
  <si>
    <t>Paiement salaire du mois de Mars 2025/FOUMBA Roderlin/3654825</t>
  </si>
  <si>
    <t>Paiement salaire du mois de Mars 2025/BOUNGOU MAKOSSO Abraham/3654824</t>
  </si>
  <si>
    <t>Paiement salaire du mois de Mars 2025/LOUNDOU JeanRomain/3654832</t>
  </si>
  <si>
    <t>Paiement salaire du mois de Mars 2025/Crepin IBOUILI-IBOUILI</t>
  </si>
  <si>
    <t>Paiement salaire du mois de Mars 2025/Evariste LELOUSSI</t>
  </si>
  <si>
    <t>Paiement salaire du mois de Mars 2025/PINDI BINGA Donald- Roméo</t>
  </si>
  <si>
    <t>Reglement loyer du mois de Mars 2025/3654830</t>
  </si>
  <si>
    <t>Frais de virement salaire du mois de Mars 2025</t>
  </si>
  <si>
    <t>Retrait espèces/3654836</t>
  </si>
  <si>
    <t>Reglement honoraire du mois de Mars 2025/P29/3654837</t>
  </si>
  <si>
    <t>Reglement honoraire du mois de Mars 2025/G12/3654833</t>
  </si>
  <si>
    <t>Reglement honoraire du mois de Mars 2025/T73/3654829</t>
  </si>
  <si>
    <t>Reglement honoraire du mois de Mars 2025/IT87/3654827</t>
  </si>
  <si>
    <t>Reglement Facture Gardiennage Mois de Mars 2025/3654828</t>
  </si>
  <si>
    <t>Virement</t>
  </si>
  <si>
    <t>Retrait espèces/3654826</t>
  </si>
  <si>
    <t>Paiement salaire du mois de Mars 2025/BAVOUMINA NZOUSSI Dina Parfaite/3654831</t>
  </si>
  <si>
    <t>Frais de virement congé et salaire des jours travailés en Mars 2025/Merveille</t>
  </si>
  <si>
    <t>BQ-M-V1</t>
  </si>
  <si>
    <t>BQ-M-V2</t>
  </si>
  <si>
    <t>BQ-M-G1</t>
  </si>
  <si>
    <t>BQ-M-G2</t>
  </si>
  <si>
    <t>BQ-M-G3</t>
  </si>
  <si>
    <t>BQ-M-R1</t>
  </si>
  <si>
    <t>BQ-M-R2</t>
  </si>
  <si>
    <t>BQ-M-R3</t>
  </si>
  <si>
    <t>BQ-M-R4</t>
  </si>
  <si>
    <t>BQ-M-R5</t>
  </si>
  <si>
    <t>BQ-M-R6</t>
  </si>
  <si>
    <t>BQ-M-R7</t>
  </si>
  <si>
    <t>BQ-M-R8</t>
  </si>
  <si>
    <t>BQ-M-R9</t>
  </si>
  <si>
    <t>BQ-M-R10</t>
  </si>
  <si>
    <t>BQ-M-R11</t>
  </si>
  <si>
    <t>BQ-M-R12</t>
  </si>
  <si>
    <t>BQ-M-R13</t>
  </si>
  <si>
    <t>BQ-M-R14</t>
  </si>
  <si>
    <t>BQ-M-R15</t>
  </si>
  <si>
    <t>BQ-M-R16</t>
  </si>
  <si>
    <t>BQ-M-R17</t>
  </si>
  <si>
    <t>BQ-M-R18</t>
  </si>
  <si>
    <t>BQ-M-R19</t>
  </si>
  <si>
    <t>BQ-M-R20</t>
  </si>
  <si>
    <t>BQ-M-R21</t>
  </si>
  <si>
    <t>BQ-M-R22</t>
  </si>
  <si>
    <t>BQ-M-R23</t>
  </si>
  <si>
    <t>BQ-M-R24</t>
  </si>
  <si>
    <t>BQ-M-R25</t>
  </si>
  <si>
    <t>BQ-M-R26</t>
  </si>
  <si>
    <t>BQ-M-R27</t>
  </si>
  <si>
    <t>BQ-M-R28</t>
  </si>
  <si>
    <t>BQ-M-R29</t>
  </si>
  <si>
    <t>BQ-M-V3</t>
  </si>
  <si>
    <t>BQ-M-V4</t>
  </si>
  <si>
    <t>BQ-M-V5</t>
  </si>
  <si>
    <t>MARS</t>
  </si>
  <si>
    <t>ROMAIN - CONGO Ration du 15/02/ au 04/03/2025 à Owando(17 Nuitées)</t>
  </si>
  <si>
    <t>Solde au 01/03/2025</t>
  </si>
  <si>
    <t>Solde au 1/03/2025</t>
  </si>
  <si>
    <t>Solde  au 1/03/2025</t>
  </si>
  <si>
    <t>Solde  au 01/03/2025</t>
  </si>
  <si>
    <t>Reçu Caisse prêt/DOVI</t>
  </si>
  <si>
    <t>DH-M-V1</t>
  </si>
  <si>
    <t>Règlement loyer du mois de Février 2025/DOVI Coordinateur PALF</t>
  </si>
  <si>
    <t>DH-M-R2</t>
  </si>
  <si>
    <t>DH-M-V2</t>
  </si>
  <si>
    <t>Reçu caisse pour transfert à un infomateur/DOVI</t>
  </si>
  <si>
    <t>DH-M-V3</t>
  </si>
  <si>
    <t>Fonds envoyés à un informateur</t>
  </si>
  <si>
    <t>DH-M-R3</t>
  </si>
  <si>
    <t>DH-M-R4</t>
  </si>
  <si>
    <t>Reçu caisse/Fonctionnement/DOVI</t>
  </si>
  <si>
    <t>DH-M-V4</t>
  </si>
  <si>
    <t>Cumul frais de transport local du mois de Mars 2025/DOVI</t>
  </si>
  <si>
    <t>DH-M-D1</t>
  </si>
  <si>
    <t>Cumul frais de transport local du mois de Mars 2025/Merveille</t>
  </si>
  <si>
    <t>P-M-V1</t>
  </si>
  <si>
    <t>Taxi: Direction canal box- Breau</t>
  </si>
  <si>
    <t>P-M-D1</t>
  </si>
  <si>
    <t>P29-M-V1</t>
  </si>
  <si>
    <t>P29-M-V2</t>
  </si>
  <si>
    <t>P29-M-V3</t>
  </si>
  <si>
    <t>P29-M-R1</t>
  </si>
  <si>
    <t>P29-M-D1</t>
  </si>
  <si>
    <t>P29-M-V4</t>
  </si>
  <si>
    <t>P29-M-R2</t>
  </si>
  <si>
    <t>P29-M-V5</t>
  </si>
  <si>
    <t>P29-M-V6</t>
  </si>
  <si>
    <t>Cumul frait de trust building du mois de Mars 2025/P29</t>
  </si>
  <si>
    <t>P29-M-D2</t>
  </si>
  <si>
    <t>P29-M-R3</t>
  </si>
  <si>
    <t>P29-M-R4</t>
  </si>
  <si>
    <t>P29-M-R5</t>
  </si>
  <si>
    <t>P29-M-R6</t>
  </si>
  <si>
    <t>P29-M-R7</t>
  </si>
  <si>
    <t>P29-M-R8</t>
  </si>
  <si>
    <t>P29-M-R9</t>
  </si>
  <si>
    <t>Cumul frait de transport du mois de Mars 2025/P29</t>
  </si>
  <si>
    <t>P29-M-D3</t>
  </si>
  <si>
    <t>P29-M-V7</t>
  </si>
  <si>
    <t>versement</t>
  </si>
  <si>
    <t>T73-M-V1</t>
  </si>
  <si>
    <t>payement frais d'inscription et mensuel pour la formation en anglais</t>
  </si>
  <si>
    <t>Team Building</t>
  </si>
  <si>
    <t>T73-M-R1</t>
  </si>
  <si>
    <t>T73-M-V2</t>
  </si>
  <si>
    <t>T73-M-V3</t>
  </si>
  <si>
    <t>T73-M-D1</t>
  </si>
  <si>
    <t>T73-M-R2</t>
  </si>
  <si>
    <t>T73-M-R3</t>
  </si>
  <si>
    <t>T73-M-R4</t>
  </si>
  <si>
    <t>T73-M-R5</t>
  </si>
  <si>
    <t>T73-M-R6</t>
  </si>
  <si>
    <t>T73-M-R7</t>
  </si>
  <si>
    <t>T73-M-R8</t>
  </si>
  <si>
    <t>T73-M-R9</t>
  </si>
  <si>
    <t>T73-M-R10</t>
  </si>
  <si>
    <t>T73-M-V4</t>
  </si>
  <si>
    <t>Achat sim/T73</t>
  </si>
  <si>
    <t>Investigation materiel</t>
  </si>
  <si>
    <t>T73-M-R11</t>
  </si>
  <si>
    <t>T73-M-V5</t>
  </si>
  <si>
    <t>T73-M-D2</t>
  </si>
  <si>
    <t>T73-M-R12</t>
  </si>
  <si>
    <t>T73-M-R13</t>
  </si>
  <si>
    <t>T73-M-R14</t>
  </si>
  <si>
    <t>T73-M-V6</t>
  </si>
  <si>
    <t>transport</t>
  </si>
  <si>
    <t>T73-M-R15</t>
  </si>
  <si>
    <t>T73-M-R16</t>
  </si>
  <si>
    <t>T73-M-R17</t>
  </si>
  <si>
    <t>T73-M-R18</t>
  </si>
  <si>
    <t>Cumul frais de trust building du mois de Mars 2025/T73</t>
  </si>
  <si>
    <t>T73-M-D3</t>
  </si>
  <si>
    <t>T73-M-R19</t>
  </si>
  <si>
    <t>T73-M-R20</t>
  </si>
  <si>
    <t>Cumul frais de transport local du mois de Mars 2025/T73</t>
  </si>
  <si>
    <t>T73-M-D4</t>
  </si>
  <si>
    <t>IT87-M-V1</t>
  </si>
  <si>
    <t>IT87-M-V2</t>
  </si>
  <si>
    <t>IT87-M-D1</t>
  </si>
  <si>
    <t>IT87-M-R1</t>
  </si>
  <si>
    <t>IT87-M-R2</t>
  </si>
  <si>
    <t>IT87-M-R3</t>
  </si>
  <si>
    <t>IT87-M-R4</t>
  </si>
  <si>
    <t>IT87-M-R5</t>
  </si>
  <si>
    <t>IT87-M-V3</t>
  </si>
  <si>
    <t>IT87-M-V4</t>
  </si>
  <si>
    <t>IT87-M-V5</t>
  </si>
  <si>
    <t>IT87-M-R6</t>
  </si>
  <si>
    <t>IT87-M-D2</t>
  </si>
  <si>
    <t>IT87-M-V6</t>
  </si>
  <si>
    <t>IT87-M-R7</t>
  </si>
  <si>
    <t>IT87-M-R8</t>
  </si>
  <si>
    <t>IT87-M-R9</t>
  </si>
  <si>
    <t>IT87-M-R10</t>
  </si>
  <si>
    <t>Cumul frais de trust building du mois de Mars 2025/IT87</t>
  </si>
  <si>
    <t>IT87-M-D3</t>
  </si>
  <si>
    <t>Cumul frais de transport local du mois de Mars 2025/IT87</t>
  </si>
  <si>
    <t>IT87-M-D4</t>
  </si>
  <si>
    <t>G12-M-V1</t>
  </si>
  <si>
    <t>G12-M-R1</t>
  </si>
  <si>
    <t>G12-M-D1</t>
  </si>
  <si>
    <t>Cumul trust building du mois de Mars 2025/G12</t>
  </si>
  <si>
    <t>G12-M-D2</t>
  </si>
  <si>
    <t>G12-M-V2</t>
  </si>
  <si>
    <t>G12-M-V3</t>
  </si>
  <si>
    <t>G12-M-V4</t>
  </si>
  <si>
    <t>G12-M-V5</t>
  </si>
  <si>
    <t>G12-M-R2</t>
  </si>
  <si>
    <t>G12-M-R3</t>
  </si>
  <si>
    <t>G12-M-R4</t>
  </si>
  <si>
    <t>G12-M-V6</t>
  </si>
  <si>
    <t>achat carte sim</t>
  </si>
  <si>
    <t>Investigation materielle</t>
  </si>
  <si>
    <t>G12-M-R5</t>
  </si>
  <si>
    <t>G12-M-V7</t>
  </si>
  <si>
    <t>Cumul transport local du mois de Mars 2025/G12</t>
  </si>
  <si>
    <t>G12-M-D3</t>
  </si>
  <si>
    <t>ROMAIN-CONGO ration du 04 au 08/03/2025 à Owando (04 Nuitées)</t>
  </si>
  <si>
    <t>RM-M-D1</t>
  </si>
  <si>
    <t>Reçu Caisse/Jean Romain</t>
  </si>
  <si>
    <t>RM-M-V1</t>
  </si>
  <si>
    <t>ROMAIN - CONGO Frais d'hotel du 25/02/au 08/03/2025 à Owando(11 nuitées)</t>
  </si>
  <si>
    <t>RM-M-R1</t>
  </si>
  <si>
    <t>RM-M-V2</t>
  </si>
  <si>
    <t>RM-M-V3</t>
  </si>
  <si>
    <t>Achat Billet Brazzaville-Dolisie/Romain</t>
  </si>
  <si>
    <t>RM-M-R2</t>
  </si>
  <si>
    <t>ROMAIN-CONGO: Ration du 17 au 29 mars 2025 à Dolisie et Sibiti/ 12 Nuitées</t>
  </si>
  <si>
    <t>RM-M-D2</t>
  </si>
  <si>
    <t>Reçu Caisse /Jean Romain</t>
  </si>
  <si>
    <t>RM-M-V4</t>
  </si>
  <si>
    <t>Reçu caise/ Jean Romain</t>
  </si>
  <si>
    <t>RM-M-V5</t>
  </si>
  <si>
    <t>RM-M-R3</t>
  </si>
  <si>
    <t>RM-M-V6</t>
  </si>
  <si>
    <t>Achat du Billet Dolisie-Sibiti/Romain</t>
  </si>
  <si>
    <t>RM-M-R4</t>
  </si>
  <si>
    <t>Cumul frais de Jails visists du mois de Mars 2025/Romain</t>
  </si>
  <si>
    <t>RM-M-D3</t>
  </si>
  <si>
    <t>ROMAIN - CONGO Frais d'hotel du 17/03/ au 27/03/2025 à Dolisie (10 nuitées)</t>
  </si>
  <si>
    <t>RM-M-R5</t>
  </si>
  <si>
    <t>ROMAIN - CONGO Frais d'hotel du 27/03/ au 29/03/2025 à Sibiti(02 nuitées)</t>
  </si>
  <si>
    <t>RM-M-R6</t>
  </si>
  <si>
    <t>Billet SIBITI- Nkayi/Romain</t>
  </si>
  <si>
    <t>RM-M-R7</t>
  </si>
  <si>
    <t>Billet Nkayi-Brazzaville/Romain</t>
  </si>
  <si>
    <t>RM-M-R8</t>
  </si>
  <si>
    <t>Cumul frais de transport local du mois de Mars 2025/Romain</t>
  </si>
  <si>
    <t>RM-M-D4</t>
  </si>
  <si>
    <t>Achat billet Owando-Brazzaville(Trans bony)/Abraham</t>
  </si>
  <si>
    <t>AB-M-R1</t>
  </si>
  <si>
    <t>ABRAHAM - CONGO frais d'Hôtel (Hôtel Case Mbali) du 20/02/2025 au 01/03/2025 Owando (09Nuitées)</t>
  </si>
  <si>
    <t>AB-M-R2</t>
  </si>
  <si>
    <t>AB-M-V1</t>
  </si>
  <si>
    <t>AB-M-V2</t>
  </si>
  <si>
    <t>Billet Brazzaville-Dolisie/Abrahm</t>
  </si>
  <si>
    <t>AB-M-R3</t>
  </si>
  <si>
    <t xml:space="preserve">ABRAHAM - CONGO Ration du 17/03/2025 au 26/03/2025 à Dolisie (09 Nuitées) </t>
  </si>
  <si>
    <t>AB-M-D1</t>
  </si>
  <si>
    <t>AB-M-V3</t>
  </si>
  <si>
    <t>AB-M-V4</t>
  </si>
  <si>
    <t>AB-M-R4</t>
  </si>
  <si>
    <t>Achat billet Dolisie-Brazzaville/Abraham</t>
  </si>
  <si>
    <t>AB-M-R5</t>
  </si>
  <si>
    <t>AB-M-V5</t>
  </si>
  <si>
    <t>Cumul frais de Jails visits du mois de Mars 2025/Abraham</t>
  </si>
  <si>
    <t>AB-M-D2</t>
  </si>
  <si>
    <t>ABRAHAM - CONGO frais d'Hôtel (Hôtel La Gloire) du 17/03/2025 au 26/03/2025 Dolisie (09Nuitées)</t>
  </si>
  <si>
    <t>AB-M-R6</t>
  </si>
  <si>
    <t>Cumul frais de transport local du mois de Mars 2025/Abraham</t>
  </si>
  <si>
    <t>AB-M-D3</t>
  </si>
  <si>
    <t>AB-M-V6</t>
  </si>
  <si>
    <t>RO-M-V1</t>
  </si>
  <si>
    <t>RO-M-V2</t>
  </si>
  <si>
    <t>Achat billet Brazzaville-Owando/Roderlin</t>
  </si>
  <si>
    <t>RO-M-R1</t>
  </si>
  <si>
    <t>RODERLIN-CONGO Ration du 19 au 22/03/2025 à Owando (03 nuitées)</t>
  </si>
  <si>
    <t>RO-M-D1</t>
  </si>
  <si>
    <t>RO-M-R2</t>
  </si>
  <si>
    <t>RODERLIN-CONGO frais d'hôtel du 19 au 22/03/2025 à Owando (03 nuitées)</t>
  </si>
  <si>
    <t>RO-M-R3</t>
  </si>
  <si>
    <t>Cumul frais de transport local du mois de Mars 2025/Roderlin</t>
  </si>
  <si>
    <t>RO-M-D2</t>
  </si>
  <si>
    <t>Reçu caisse/Donald-Roméo</t>
  </si>
  <si>
    <t>DR-M-V1</t>
  </si>
  <si>
    <t>Achat billet Brazzaville-Dolisie/Donald-Roméo</t>
  </si>
  <si>
    <t>DR-M-R1</t>
  </si>
  <si>
    <t>Ration  du  17/03/ au 05/04/2025 à Dolisie</t>
  </si>
  <si>
    <t>DR-M-D1</t>
  </si>
  <si>
    <t>DR-M-V2</t>
  </si>
  <si>
    <t>DR-M-V3</t>
  </si>
  <si>
    <t>Achat carburant BJ OP</t>
  </si>
  <si>
    <t>DR-M-R2</t>
  </si>
  <si>
    <t>DR-M-R3</t>
  </si>
  <si>
    <t>DR-M-V4</t>
  </si>
  <si>
    <t>Frais d'impression de la procédure de la gendarmerie</t>
  </si>
  <si>
    <t>Office materials</t>
  </si>
  <si>
    <t>DR-M-R4</t>
  </si>
  <si>
    <t>Cumul frais de Jails visits du mois de Mars 2025/Donald-Romeo</t>
  </si>
  <si>
    <t>DR-M-D2</t>
  </si>
  <si>
    <t>DR-M-V5</t>
  </si>
  <si>
    <t>Cumul frais de transport local du mois de Mars 2025/Donald-Romeo</t>
  </si>
  <si>
    <t>DR-M-D3</t>
  </si>
  <si>
    <t>DR-M-V6</t>
  </si>
  <si>
    <t>EV-M-V1</t>
  </si>
  <si>
    <t>EV-M-V2</t>
  </si>
  <si>
    <t>Achat billet Brazzaville-Dolisie/Evariste</t>
  </si>
  <si>
    <t>EV-M-R1</t>
  </si>
  <si>
    <t>EVARISTE - CONGO Ration du 17 au 26 mars 2025  à Dolisie/09 Nuitées</t>
  </si>
  <si>
    <t>EV-M-D1</t>
  </si>
  <si>
    <t>EV-M-V3</t>
  </si>
  <si>
    <t>EV-M-V4</t>
  </si>
  <si>
    <t>EV-M-R2</t>
  </si>
  <si>
    <t>EV-M-V5</t>
  </si>
  <si>
    <t>EVARISTE - CONGO Frais de l'hôtel du 17 au 26 mars 2025 à Dolisie (09 Nuitées)</t>
  </si>
  <si>
    <t>EV-M-R3</t>
  </si>
  <si>
    <t>Achat Billet  Dolisie-Brazzaville/Evariste</t>
  </si>
  <si>
    <t>EV-M-R4</t>
  </si>
  <si>
    <t>Cumul frais de transport local du mois de Mars  2025 /Evariste</t>
  </si>
  <si>
    <t>EV-M-D2</t>
  </si>
  <si>
    <t>EV-M-V6</t>
  </si>
  <si>
    <t xml:space="preserve">CREPIN - CONGO Hébergement à l'hôtel Case Mbali d'Owando, 05 Nuitées du 24/02/ au 01/03/2025 </t>
  </si>
  <si>
    <t>CR-M-V1</t>
  </si>
  <si>
    <t>CREPIN - CONGO Ration du du 05 au 08/03/2025  03 Nuitées  à Owando(03 Nuitées)</t>
  </si>
  <si>
    <t>CR-M-D1</t>
  </si>
  <si>
    <t xml:space="preserve">CREPIN-IBOULI CONGO Hébergement à l'hôtel Case Mbali d'Owando, 07 Nuitées du  01 au 08/03/2025 </t>
  </si>
  <si>
    <t>Billet: Owando-Brazaville/Crepin</t>
  </si>
  <si>
    <t>CR-M-V2</t>
  </si>
  <si>
    <t>Billet: Brazzaville-Dolisie/Crépin</t>
  </si>
  <si>
    <t>CREPIN - CONGO Ration  du 17/03/ au 05/04/2025 à Dolisie(19 Nuitées)</t>
  </si>
  <si>
    <t>CR-M-D2</t>
  </si>
  <si>
    <t>CR-M-V3</t>
  </si>
  <si>
    <t>CR-M-V4</t>
  </si>
  <si>
    <t>CREPIN - CONGO  Frais d'hôtel à Dolisie du 17 au 19/03/2025, 02 Nuitées</t>
  </si>
  <si>
    <t>CR-M-V5</t>
  </si>
  <si>
    <t>Raffraichissement et plats pendant l'attente de l'opération</t>
  </si>
  <si>
    <t>CR-M-V6</t>
  </si>
  <si>
    <t>Bonus de 18 gendarmes pour l'opération du 22/03/2025 à Dolisie</t>
  </si>
  <si>
    <t>Bonus de 02 EF pour l'opération du 22/03/2025 à Dolisie</t>
  </si>
  <si>
    <t>CR-M-V7</t>
  </si>
  <si>
    <t>CR-M-V8</t>
  </si>
  <si>
    <t>Bonus pour 12 Policiers ayant effectué le transferèment de Moussa Grâce de Mossendjo à Dolisie</t>
  </si>
  <si>
    <t>Ration pour 12 policiers moyennant 5000 par policier ayant effectué le transferèment de Mossendjo à Dolisie</t>
  </si>
  <si>
    <t>Carburant aller de la BJ Mossendjo-Dolisie pour le transferèment</t>
  </si>
  <si>
    <t>Carburant retour de la BJ Dolisie-Mossendjo apès le transferèment</t>
  </si>
  <si>
    <t>Cumul frais de transport local du mois de Mars 2025/CREPIN</t>
  </si>
  <si>
    <t>CR-M-V9</t>
  </si>
  <si>
    <t>M-M-D1</t>
  </si>
  <si>
    <t>BQ-M-R30</t>
  </si>
  <si>
    <t>BQ-M-R31</t>
  </si>
  <si>
    <t>BQ-M-R32</t>
  </si>
  <si>
    <t>BQ-M-R33</t>
  </si>
  <si>
    <t>BQ-M-R34</t>
  </si>
  <si>
    <t>BQ-M-R35</t>
  </si>
  <si>
    <t>BQ-M-R36</t>
  </si>
  <si>
    <t>BQ-M-R37</t>
  </si>
  <si>
    <t>UE</t>
  </si>
  <si>
    <t>FINANCIAL POSITION AT 01/03/2025</t>
  </si>
  <si>
    <t>FINANCIAL POSITION AT 31/03/2025</t>
  </si>
  <si>
    <t>01/03/2025 of the month Balance and advance</t>
  </si>
  <si>
    <t>31/03/2025 of the month  Balance and advance</t>
  </si>
  <si>
    <t>OAT</t>
  </si>
  <si>
    <t>mars</t>
  </si>
  <si>
    <t>CR-M-R1</t>
  </si>
  <si>
    <t>CR-M-R2</t>
  </si>
  <si>
    <t>CR-M-R3</t>
  </si>
  <si>
    <t>CR-M-R4</t>
  </si>
  <si>
    <t>CR-M-R5</t>
  </si>
  <si>
    <t>CR-M-R6</t>
  </si>
  <si>
    <t>CR-M-R7</t>
  </si>
  <si>
    <t>CR-M-R8</t>
  </si>
  <si>
    <t>CR-M-R9</t>
  </si>
  <si>
    <t>CR-M-R10</t>
  </si>
  <si>
    <t>CR-M-R11</t>
  </si>
  <si>
    <t>CR-M-R12</t>
  </si>
  <si>
    <t>CR-M-D3</t>
  </si>
  <si>
    <t>Bonus du mois de Février 2025/Evariste</t>
  </si>
  <si>
    <t>Bonus du mois de Février 2025/Merveille</t>
  </si>
  <si>
    <t>Bonus du mois de Février 2025/Parfaite</t>
  </si>
  <si>
    <t>Bonus du mois de Frévrier 2025/Abraham</t>
  </si>
  <si>
    <t>Bonus du mois de Février 2025/Roderlin</t>
  </si>
  <si>
    <t>Fonds à un informateur en RDC</t>
  </si>
  <si>
    <t>Bonus du mois de Février 2025/Crepin</t>
  </si>
  <si>
    <t>Achat eau mineral 16 Litres/Bureau</t>
  </si>
  <si>
    <t>Reparation de court -circuit électrique du bureau</t>
  </si>
  <si>
    <t xml:space="preserve">Achat 10 ampoules pour le bureau </t>
  </si>
  <si>
    <t xml:space="preserve">Bonus à un informateur en RDC </t>
  </si>
  <si>
    <t xml:space="preserve">ROMAIN-CONGO Ration du 04 au 08/03/2025 à Owando (04 Nuitées) </t>
  </si>
  <si>
    <r>
      <t>Règlement loyer du mois de Février 2025/DOVI Coordinateur PALF</t>
    </r>
    <r>
      <rPr>
        <sz val="11"/>
        <color rgb="FFFF0000"/>
        <rFont val="Arial Narrow"/>
        <family val="2"/>
      </rPr>
      <t xml:space="preserve"> </t>
    </r>
  </si>
  <si>
    <t>ROMAIN - CONGO Frais d'hotel du 25/02/au 08/03/2025 à Owando</t>
  </si>
  <si>
    <t>Billet Brazzaville-Dolisie/Abraham</t>
  </si>
  <si>
    <t xml:space="preserve">Achat billet Brazzaville-Dolisie/Evariste </t>
  </si>
  <si>
    <t xml:space="preserve">Frais de transport mission maitre Marie Helène à Owando du 19 au 22/03/2025 suivi audience cas EBI </t>
  </si>
  <si>
    <t xml:space="preserve">Ration et Frais d'hôtel  mission maitre Marie Helène à Owando du 19 au 22/03/2025 suivi audience cas EBI </t>
  </si>
  <si>
    <r>
      <t>Ration et Frais d'hôtel mission à Owando de maitre Alain du 19 au 21/03/2025 suivi audience à Owando</t>
    </r>
    <r>
      <rPr>
        <sz val="11"/>
        <color rgb="FFFF0000"/>
        <rFont val="Arial Narrow"/>
        <family val="2"/>
      </rPr>
      <t xml:space="preserve"> </t>
    </r>
  </si>
  <si>
    <t>Frais de transport mission à Dolisie de maitre BANZOUZI Alain du 25/03/ au 05/04/2025 suivi audience</t>
  </si>
  <si>
    <r>
      <t>achat carte sim</t>
    </r>
    <r>
      <rPr>
        <sz val="11"/>
        <color rgb="FFFF0000"/>
        <rFont val="Arial Narrow"/>
        <family val="2"/>
      </rPr>
      <t xml:space="preserve"> </t>
    </r>
  </si>
  <si>
    <t xml:space="preserve">Cumul frais de transport local du mois de Mars  2025 /Evariste </t>
  </si>
  <si>
    <t xml:space="preserve">Billet SIBITI- Nkayi/Romain </t>
  </si>
  <si>
    <r>
      <t>Cumul frais de transport local du mois de Mars 2025/Romain</t>
    </r>
    <r>
      <rPr>
        <sz val="11"/>
        <color rgb="FFFF0000"/>
        <rFont val="Arial Narrow"/>
        <family val="2"/>
      </rPr>
      <t xml:space="preserve"> </t>
    </r>
  </si>
  <si>
    <t>Cumul frais de transfert local du mois de Mars 2025/Parfaite</t>
  </si>
  <si>
    <t xml:space="preserve">Cumul frais de transport local du mois de Mars 2025/Roderlin </t>
  </si>
  <si>
    <t xml:space="preserve">Cumul trust building du mois de Mars 2025/G12 </t>
  </si>
  <si>
    <t xml:space="preserve">Achat produit d'entretien lait,sucre,javel,papier toilette,sucre,café/Bureau PALF </t>
  </si>
  <si>
    <t>Investigation material</t>
  </si>
  <si>
    <t>Office Materials</t>
  </si>
  <si>
    <t>Transfer fees</t>
  </si>
  <si>
    <t>Reglement prestation de nettoyage jardin PALF du mois de Mars 2025</t>
  </si>
  <si>
    <t>Achat billet /P29</t>
  </si>
  <si>
    <t>P29 -CONGO Frais d'hotel  du 11 au 19/03/2025 (08 Nuitées)</t>
  </si>
  <si>
    <t>P29  -CONGO Frais d'hotel du 19 au 23/03/2025 (04 Nuitées)</t>
  </si>
  <si>
    <t>P29 -CONGO Frais d'hotel du 22 au 24/03/2025  (02 Nuitées)</t>
  </si>
  <si>
    <t>Location vehicule /P29</t>
  </si>
  <si>
    <t>Location véhicule /P29</t>
  </si>
  <si>
    <t xml:space="preserve">P29 -CONGO Frais d'hotel du 19 au 23/03/2025(04 Nuitées) </t>
  </si>
  <si>
    <t>P29- CONGO Ration mission du 11 au 24/03/2025  (13 Nuitées)</t>
  </si>
  <si>
    <t>P29 -CONGO Frais d'hotel du 11 au 19/03/2025 (08 Nuitées)</t>
  </si>
  <si>
    <t>Locaation vehicule /P29</t>
  </si>
  <si>
    <t>P29 -CONGO Frais d'hotel du 19 au 23/03/2025  (04 Nuitées)</t>
  </si>
  <si>
    <t>P29 -CONGO Frais d'hotel du 11 au 19/03/2025  (08 Nuitées)</t>
  </si>
  <si>
    <t>Achat billet /G12</t>
  </si>
  <si>
    <t xml:space="preserve">G12 - GONGO Ration du 07 au 24/03/2025  </t>
  </si>
  <si>
    <t xml:space="preserve">G12 - CONGO Frais d'hotel du 07 au 22/03/2025  (15 Nuitées) </t>
  </si>
  <si>
    <t>G12 - CONGO Frais d'hotel du 22 au 24/03/2025  (02 Nuitées)</t>
  </si>
  <si>
    <t xml:space="preserve">G12 - GONGO Ration du 07 au 24/03/2025 </t>
  </si>
  <si>
    <t>G12 - CONGO Frais d'hotel du 07 au 22/03/2025  (15 Nuitées)</t>
  </si>
  <si>
    <t xml:space="preserve">IT87 - CONGO Ration du 11 au 18/03/2025 </t>
  </si>
  <si>
    <t>Achat billet / IT87</t>
  </si>
  <si>
    <t>IT87- CONGO Frais d'hôtel du 11 au 16/03/2025  (05 nuitées)</t>
  </si>
  <si>
    <t>IT87- CONGO Frais d'hôtel  du 16 au 18/03/2025 ( 02 nuitées)</t>
  </si>
  <si>
    <t xml:space="preserve">IT87 - CONGO Ration  du 21 au 28/03/2025  </t>
  </si>
  <si>
    <t>IT87 - CONGO Frais d'hôtel  du 21 au 26/03/2025  (05 nuitées)</t>
  </si>
  <si>
    <t>IT87 - CONGO Frais d'hôtel du 26 au 28/03/2025  (02 nuitées)</t>
  </si>
  <si>
    <t>IT87- CONGO Frais d'hôtel  du 16 au 18/03/2025  ( 02 nuitées)</t>
  </si>
  <si>
    <t>T73 - CONGO Rattion  du 21 au 28/03/2025   (07nuitées)</t>
  </si>
  <si>
    <t xml:space="preserve">T73 - CONGO Ration du 11 au 18/03/2025 (07nuitées) </t>
  </si>
  <si>
    <t>achat billet /T73</t>
  </si>
  <si>
    <t xml:space="preserve">T73 - CONGO Frais d'hotel du 11 au 12/03/2025 (01 nuitée ) </t>
  </si>
  <si>
    <t xml:space="preserve">T73 - CONGO Frais d'hotel du 12 au 14/03/2025 (02 nuitées ) </t>
  </si>
  <si>
    <t xml:space="preserve">T73 - CONGO Frais d'hotel du 14 au 15/03/2025 (01 nuitée ) </t>
  </si>
  <si>
    <t xml:space="preserve">T73 - CONGO Frais d'hotel du 15 au 18/03/2025 (03 nuitées ) </t>
  </si>
  <si>
    <t>T73 - CONGO Ration  du 21 au 28/03/2025   (07nuitées)</t>
  </si>
  <si>
    <t>achat billet  /T73</t>
  </si>
  <si>
    <t xml:space="preserve">T73 - CONGO Frais d'hotel du 21 au 24/03/2025 (03 nuitées ) </t>
  </si>
  <si>
    <t xml:space="preserve">T73 - CONGO Frais d'hotel du 24 au 25/03/2025 (01nuitées) </t>
  </si>
  <si>
    <t xml:space="preserve">T73 - CONGO Frais d'hotel du 25 au 27/03/20225 (02 nuitées) </t>
  </si>
  <si>
    <t>P29 -CONGO Frais d'hotel du 19 au 23/03/2025 (04 Nuitées)</t>
  </si>
  <si>
    <t xml:space="preserve">IT87 - CONGO Ration du 11 au 18/03/2025  </t>
  </si>
  <si>
    <t>T73 - CONGO ration du 11 au 18/03/2025 (07nuitées)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</si>
</sst>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_ ;[Red]\-#,##0.00\ "/>
    <numFmt numFmtId="167" formatCode="#,##0.0000"/>
    <numFmt numFmtId="168" formatCode="_-* #,##0\ _€_-;\-* #,##0\ _€_-;_-* &quot;-&quot;??\ _€_-;_-@_-"/>
    <numFmt numFmtId="169" formatCode="#,##0.00;[Red]#,##0.00"/>
    <numFmt numFmtId="170" formatCode="[$-409]mmmmm;@"/>
    <numFmt numFmtId="171" formatCode="[$-40C]d\-mmm;@"/>
    <numFmt numFmtId="172" formatCode="_-* #,##0\ _€_-;\-* #,##0\ _€_-;_-* &quot;-&quot;??\ _€_-;_-@"/>
    <numFmt numFmtId="173" formatCode="d\-mmm\-yy;@"/>
    <numFmt numFmtId="174" formatCode="0.000"/>
    <numFmt numFmtId="175" formatCode="[$-40C]d\-mmm\-yy;@"/>
    <numFmt numFmtId="176" formatCode="#,##0_ ;[Red]\-#,##0\ "/>
    <numFmt numFmtId="177" formatCode="[$-40C]General"/>
    <numFmt numFmtId="178" formatCode="[$-409]d\-mmm\-yy;@"/>
    <numFmt numFmtId="179" formatCode="[$-40C]0"/>
    <numFmt numFmtId="180" formatCode="&quot; &quot;#,##0&quot;    &quot;;&quot;-&quot;#,##0&quot;    &quot;;&quot; -&quot;#&quot;    &quot;;&quot; &quot;@&quot; &quot;"/>
    <numFmt numFmtId="181" formatCode="0.0000"/>
  </numFmts>
  <fonts count="76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</font>
    <font>
      <b/>
      <sz val="10"/>
      <name val="Calibri"/>
      <family val="2"/>
    </font>
    <font>
      <b/>
      <sz val="10"/>
      <name val="Calibri"/>
      <family val="2"/>
      <charset val="238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</font>
    <font>
      <sz val="8"/>
      <color theme="1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rgb="FFFF0000"/>
      <name val="Calibri"/>
      <family val="2"/>
    </font>
    <font>
      <b/>
      <sz val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i/>
      <sz val="10"/>
      <color indexed="10"/>
      <name val="Aptos Narrow"/>
      <family val="2"/>
      <scheme val="minor"/>
    </font>
    <font>
      <b/>
      <i/>
      <sz val="1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3" tint="-0.499984740745262"/>
      <name val="Aptos Narrow"/>
      <family val="2"/>
      <scheme val="minor"/>
    </font>
    <font>
      <sz val="10"/>
      <color theme="3" tint="-0.499984740745262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10"/>
      <name val="Times New Roman"/>
      <family val="1"/>
      <charset val="238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</font>
    <font>
      <sz val="9"/>
      <color indexed="8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color rgb="FF000000"/>
      <name val="Calibri"/>
      <family val="2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Aptos Narrow"/>
      <family val="2"/>
      <charset val="1"/>
      <scheme val="minor"/>
    </font>
    <font>
      <sz val="12"/>
      <color theme="1"/>
      <name val="Times New Roman"/>
      <family val="1"/>
    </font>
    <font>
      <sz val="11"/>
      <color rgb="FFFF0000"/>
      <name val="Arial Narrow"/>
      <family val="2"/>
    </font>
    <font>
      <sz val="11"/>
      <name val="Arial Narrow"/>
      <family val="2"/>
    </font>
    <font>
      <sz val="11"/>
      <color rgb="FFFF0000"/>
      <name val="Aptos Narrow"/>
      <family val="2"/>
      <charset val="238"/>
      <scheme val="minor"/>
    </font>
    <font>
      <sz val="10"/>
      <color rgb="FFFF0000"/>
      <name val="Arial Narrow"/>
      <family val="2"/>
    </font>
    <font>
      <sz val="10"/>
      <color theme="1"/>
      <name val="Times New Roman"/>
      <family val="1"/>
    </font>
    <font>
      <b/>
      <sz val="12"/>
      <color theme="1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EEF4"/>
        <bgColor rgb="FFDBEEF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BEEF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0" fontId="7" fillId="0" borderId="0"/>
    <xf numFmtId="0" fontId="47" fillId="0" borderId="0"/>
    <xf numFmtId="178" fontId="57" fillId="0" borderId="0" applyBorder="0" applyProtection="0"/>
    <xf numFmtId="165" fontId="62" fillId="0" borderId="0">
      <protection locked="0"/>
    </xf>
    <xf numFmtId="165" fontId="3" fillId="0" borderId="0" applyFont="0" applyFill="0" applyBorder="0" applyAlignment="0" applyProtection="0"/>
    <xf numFmtId="0" fontId="7" fillId="0" borderId="0"/>
    <xf numFmtId="165" fontId="5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24">
    <xf numFmtId="0" fontId="0" fillId="0" borderId="0" xfId="0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166" fontId="9" fillId="3" borderId="1" xfId="2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166" fontId="10" fillId="0" borderId="1" xfId="1" applyNumberFormat="1" applyFont="1" applyBorder="1"/>
    <xf numFmtId="166" fontId="11" fillId="0" borderId="1" xfId="0" applyNumberFormat="1" applyFont="1" applyBorder="1" applyAlignment="1">
      <alignment vertical="top" wrapText="1"/>
    </xf>
    <xf numFmtId="166" fontId="12" fillId="0" borderId="1" xfId="1" applyNumberFormat="1" applyFont="1" applyBorder="1"/>
    <xf numFmtId="166" fontId="12" fillId="0" borderId="2" xfId="1" applyNumberFormat="1" applyFont="1" applyBorder="1"/>
    <xf numFmtId="166" fontId="9" fillId="3" borderId="1" xfId="1" applyNumberFormat="1" applyFont="1" applyFill="1" applyBorder="1"/>
    <xf numFmtId="166" fontId="8" fillId="0" borderId="1" xfId="1" applyNumberFormat="1" applyFont="1" applyBorder="1"/>
    <xf numFmtId="166" fontId="13" fillId="0" borderId="1" xfId="0" applyNumberFormat="1" applyFont="1" applyBorder="1" applyAlignment="1">
      <alignment vertical="top" wrapText="1"/>
    </xf>
    <xf numFmtId="14" fontId="14" fillId="4" borderId="1" xfId="0" applyNumberFormat="1" applyFont="1" applyFill="1" applyBorder="1"/>
    <xf numFmtId="166" fontId="15" fillId="4" borderId="1" xfId="1" applyNumberFormat="1" applyFont="1" applyFill="1" applyBorder="1"/>
    <xf numFmtId="166" fontId="16" fillId="4" borderId="1" xfId="0" applyNumberFormat="1" applyFont="1" applyFill="1" applyBorder="1"/>
    <xf numFmtId="166" fontId="9" fillId="4" borderId="1" xfId="1" applyNumberFormat="1" applyFont="1" applyFill="1" applyBorder="1"/>
    <xf numFmtId="14" fontId="11" fillId="0" borderId="1" xfId="0" applyNumberFormat="1" applyFont="1" applyBorder="1"/>
    <xf numFmtId="166" fontId="11" fillId="0" borderId="1" xfId="0" applyNumberFormat="1" applyFont="1" applyBorder="1"/>
    <xf numFmtId="166" fontId="10" fillId="0" borderId="1" xfId="1" applyNumberFormat="1" applyFont="1" applyBorder="1" applyAlignment="1">
      <alignment horizontal="center"/>
    </xf>
    <xf numFmtId="166" fontId="17" fillId="0" borderId="1" xfId="1" applyNumberFormat="1" applyFont="1" applyBorder="1"/>
    <xf numFmtId="166" fontId="11" fillId="0" borderId="2" xfId="0" applyNumberFormat="1" applyFont="1" applyBorder="1"/>
    <xf numFmtId="0" fontId="18" fillId="0" borderId="1" xfId="0" applyFont="1" applyBorder="1"/>
    <xf numFmtId="166" fontId="18" fillId="0" borderId="1" xfId="0" applyNumberFormat="1" applyFont="1" applyBorder="1"/>
    <xf numFmtId="166" fontId="18" fillId="0" borderId="1" xfId="1" applyNumberFormat="1" applyFont="1" applyBorder="1"/>
    <xf numFmtId="166" fontId="18" fillId="5" borderId="1" xfId="1" applyNumberFormat="1" applyFont="1" applyFill="1" applyBorder="1"/>
    <xf numFmtId="166" fontId="18" fillId="0" borderId="2" xfId="1" applyNumberFormat="1" applyFont="1" applyBorder="1"/>
    <xf numFmtId="0" fontId="20" fillId="0" borderId="3" xfId="0" applyFont="1" applyBorder="1"/>
    <xf numFmtId="166" fontId="21" fillId="0" borderId="3" xfId="0" applyNumberFormat="1" applyFont="1" applyBorder="1"/>
    <xf numFmtId="166" fontId="22" fillId="0" borderId="3" xfId="0" applyNumberFormat="1" applyFont="1" applyBorder="1"/>
    <xf numFmtId="166" fontId="21" fillId="5" borderId="3" xfId="0" applyNumberFormat="1" applyFont="1" applyFill="1" applyBorder="1"/>
    <xf numFmtId="166" fontId="21" fillId="0" borderId="5" xfId="0" applyNumberFormat="1" applyFont="1" applyBorder="1"/>
    <xf numFmtId="166" fontId="23" fillId="3" borderId="1" xfId="1" applyNumberFormat="1" applyFont="1" applyFill="1" applyBorder="1"/>
    <xf numFmtId="0" fontId="19" fillId="0" borderId="3" xfId="0" applyFont="1" applyBorder="1"/>
    <xf numFmtId="166" fontId="13" fillId="0" borderId="3" xfId="0" applyNumberFormat="1" applyFont="1" applyBorder="1"/>
    <xf numFmtId="166" fontId="13" fillId="0" borderId="5" xfId="0" applyNumberFormat="1" applyFont="1" applyBorder="1"/>
    <xf numFmtId="0" fontId="19" fillId="7" borderId="6" xfId="0" applyFont="1" applyFill="1" applyBorder="1"/>
    <xf numFmtId="166" fontId="13" fillId="7" borderId="7" xfId="0" applyNumberFormat="1" applyFont="1" applyFill="1" applyBorder="1"/>
    <xf numFmtId="166" fontId="13" fillId="7" borderId="8" xfId="0" applyNumberFormat="1" applyFont="1" applyFill="1" applyBorder="1"/>
    <xf numFmtId="166" fontId="9" fillId="7" borderId="1" xfId="1" applyNumberFormat="1" applyFont="1" applyFill="1" applyBorder="1"/>
    <xf numFmtId="0" fontId="11" fillId="0" borderId="9" xfId="0" applyFont="1" applyBorder="1"/>
    <xf numFmtId="166" fontId="11" fillId="0" borderId="9" xfId="0" applyNumberFormat="1" applyFont="1" applyBorder="1"/>
    <xf numFmtId="166" fontId="11" fillId="0" borderId="10" xfId="0" applyNumberFormat="1" applyFont="1" applyBorder="1"/>
    <xf numFmtId="0" fontId="19" fillId="0" borderId="1" xfId="0" applyFont="1" applyBorder="1"/>
    <xf numFmtId="166" fontId="19" fillId="0" borderId="1" xfId="0" applyNumberFormat="1" applyFont="1" applyBorder="1"/>
    <xf numFmtId="166" fontId="13" fillId="0" borderId="1" xfId="0" applyNumberFormat="1" applyFont="1" applyBorder="1"/>
    <xf numFmtId="166" fontId="19" fillId="0" borderId="1" xfId="1" applyNumberFormat="1" applyFont="1" applyBorder="1"/>
    <xf numFmtId="166" fontId="19" fillId="0" borderId="2" xfId="1" applyNumberFormat="1" applyFont="1" applyBorder="1"/>
    <xf numFmtId="0" fontId="11" fillId="0" borderId="0" xfId="0" applyFont="1"/>
    <xf numFmtId="166" fontId="11" fillId="0" borderId="0" xfId="0" applyNumberFormat="1" applyFont="1"/>
    <xf numFmtId="0" fontId="16" fillId="0" borderId="4" xfId="0" applyFont="1" applyBorder="1"/>
    <xf numFmtId="0" fontId="24" fillId="8" borderId="11" xfId="0" applyFont="1" applyFill="1" applyBorder="1"/>
    <xf numFmtId="166" fontId="24" fillId="8" borderId="12" xfId="0" applyNumberFormat="1" applyFont="1" applyFill="1" applyBorder="1"/>
    <xf numFmtId="166" fontId="24" fillId="8" borderId="13" xfId="0" applyNumberFormat="1" applyFont="1" applyFill="1" applyBorder="1"/>
    <xf numFmtId="166" fontId="24" fillId="8" borderId="14" xfId="0" applyNumberFormat="1" applyFont="1" applyFill="1" applyBorder="1"/>
    <xf numFmtId="0" fontId="25" fillId="3" borderId="15" xfId="0" applyFont="1" applyFill="1" applyBorder="1"/>
    <xf numFmtId="0" fontId="25" fillId="8" borderId="16" xfId="0" applyFont="1" applyFill="1" applyBorder="1" applyAlignment="1">
      <alignment wrapText="1"/>
    </xf>
    <xf numFmtId="166" fontId="24" fillId="8" borderId="17" xfId="0" applyNumberFormat="1" applyFont="1" applyFill="1" applyBorder="1" applyAlignment="1">
      <alignment wrapText="1"/>
    </xf>
    <xf numFmtId="166" fontId="24" fillId="8" borderId="1" xfId="0" applyNumberFormat="1" applyFont="1" applyFill="1" applyBorder="1" applyAlignment="1">
      <alignment wrapText="1"/>
    </xf>
    <xf numFmtId="0" fontId="25" fillId="3" borderId="18" xfId="0" applyFont="1" applyFill="1" applyBorder="1" applyAlignment="1">
      <alignment wrapText="1"/>
    </xf>
    <xf numFmtId="0" fontId="24" fillId="9" borderId="19" xfId="0" applyFont="1" applyFill="1" applyBorder="1" applyAlignment="1">
      <alignment wrapText="1"/>
    </xf>
    <xf numFmtId="166" fontId="24" fillId="9" borderId="20" xfId="0" applyNumberFormat="1" applyFont="1" applyFill="1" applyBorder="1"/>
    <xf numFmtId="166" fontId="24" fillId="9" borderId="21" xfId="0" applyNumberFormat="1" applyFont="1" applyFill="1" applyBorder="1"/>
    <xf numFmtId="4" fontId="26" fillId="9" borderId="22" xfId="0" applyNumberFormat="1" applyFont="1" applyFill="1" applyBorder="1" applyAlignment="1">
      <alignment horizontal="center" vertical="center"/>
    </xf>
    <xf numFmtId="166" fontId="25" fillId="3" borderId="23" xfId="0" applyNumberFormat="1" applyFont="1" applyFill="1" applyBorder="1"/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0" fillId="0" borderId="0" xfId="0" applyNumberFormat="1"/>
    <xf numFmtId="3" fontId="6" fillId="2" borderId="1" xfId="0" applyNumberFormat="1" applyFont="1" applyFill="1" applyBorder="1" applyAlignment="1">
      <alignment vertical="center" wrapText="1"/>
    </xf>
    <xf numFmtId="3" fontId="0" fillId="0" borderId="0" xfId="0" applyNumberFormat="1"/>
    <xf numFmtId="4" fontId="6" fillId="2" borderId="1" xfId="0" applyNumberFormat="1" applyFont="1" applyFill="1" applyBorder="1" applyAlignment="1">
      <alignment horizontal="right" vertical="center" wrapText="1"/>
    </xf>
    <xf numFmtId="14" fontId="6" fillId="1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0" fillId="0" borderId="1" xfId="0" applyBorder="1"/>
    <xf numFmtId="166" fontId="13" fillId="2" borderId="1" xfId="0" applyNumberFormat="1" applyFont="1" applyFill="1" applyBorder="1" applyAlignment="1">
      <alignment vertical="top" wrapText="1"/>
    </xf>
    <xf numFmtId="166" fontId="8" fillId="2" borderId="1" xfId="1" applyNumberFormat="1" applyFont="1" applyFill="1" applyBorder="1"/>
    <xf numFmtId="14" fontId="8" fillId="2" borderId="1" xfId="2" applyNumberFormat="1" applyFont="1" applyFill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 wrapText="1"/>
    </xf>
    <xf numFmtId="166" fontId="8" fillId="2" borderId="1" xfId="2" applyNumberFormat="1" applyFont="1" applyFill="1" applyBorder="1" applyAlignment="1">
      <alignment horizontal="center" vertical="center"/>
    </xf>
    <xf numFmtId="166" fontId="8" fillId="2" borderId="2" xfId="2" applyNumberFormat="1" applyFont="1" applyFill="1" applyBorder="1" applyAlignment="1">
      <alignment horizontal="center" vertical="center" wrapText="1"/>
    </xf>
    <xf numFmtId="0" fontId="19" fillId="4" borderId="1" xfId="0" applyFont="1" applyFill="1" applyBorder="1"/>
    <xf numFmtId="166" fontId="13" fillId="4" borderId="1" xfId="0" applyNumberFormat="1" applyFont="1" applyFill="1" applyBorder="1"/>
    <xf numFmtId="166" fontId="13" fillId="4" borderId="2" xfId="0" applyNumberFormat="1" applyFont="1" applyFill="1" applyBorder="1"/>
    <xf numFmtId="3" fontId="6" fillId="10" borderId="1" xfId="0" applyNumberFormat="1" applyFont="1" applyFill="1" applyBorder="1" applyAlignment="1">
      <alignment vertical="center" wrapText="1"/>
    </xf>
    <xf numFmtId="3" fontId="6" fillId="10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17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29" fillId="0" borderId="22" xfId="0" applyFont="1" applyBorder="1" applyAlignment="1">
      <alignment vertical="center"/>
    </xf>
    <xf numFmtId="0" fontId="32" fillId="11" borderId="6" xfId="0" applyFont="1" applyFill="1" applyBorder="1" applyAlignment="1">
      <alignment vertical="center"/>
    </xf>
    <xf numFmtId="0" fontId="32" fillId="11" borderId="7" xfId="0" applyFont="1" applyFill="1" applyBorder="1" applyAlignment="1">
      <alignment vertical="center"/>
    </xf>
    <xf numFmtId="0" fontId="32" fillId="11" borderId="8" xfId="0" applyFont="1" applyFill="1" applyBorder="1" applyAlignment="1">
      <alignment vertical="center"/>
    </xf>
    <xf numFmtId="0" fontId="32" fillId="11" borderId="27" xfId="0" applyFont="1" applyFill="1" applyBorder="1" applyAlignment="1">
      <alignment vertical="center"/>
    </xf>
    <xf numFmtId="0" fontId="31" fillId="11" borderId="28" xfId="0" applyFont="1" applyFill="1" applyBorder="1" applyAlignment="1">
      <alignment horizontal="center" vertical="center"/>
    </xf>
    <xf numFmtId="0" fontId="31" fillId="11" borderId="9" xfId="0" applyFont="1" applyFill="1" applyBorder="1" applyAlignment="1">
      <alignment horizontal="center" vertical="center"/>
    </xf>
    <xf numFmtId="0" fontId="31" fillId="11" borderId="10" xfId="0" applyFont="1" applyFill="1" applyBorder="1" applyAlignment="1">
      <alignment horizontal="center" vertical="center"/>
    </xf>
    <xf numFmtId="0" fontId="31" fillId="11" borderId="11" xfId="0" applyFont="1" applyFill="1" applyBorder="1" applyAlignment="1">
      <alignment horizontal="center" vertical="center"/>
    </xf>
    <xf numFmtId="0" fontId="31" fillId="11" borderId="29" xfId="0" applyFont="1" applyFill="1" applyBorder="1" applyAlignment="1">
      <alignment horizontal="center" vertical="center"/>
    </xf>
    <xf numFmtId="14" fontId="26" fillId="0" borderId="17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3" fontId="26" fillId="0" borderId="16" xfId="0" applyNumberFormat="1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14" fontId="29" fillId="6" borderId="6" xfId="0" applyNumberFormat="1" applyFont="1" applyFill="1" applyBorder="1" applyAlignment="1">
      <alignment horizontal="left" vertical="center"/>
    </xf>
    <xf numFmtId="0" fontId="30" fillId="6" borderId="7" xfId="0" applyFont="1" applyFill="1" applyBorder="1" applyAlignment="1">
      <alignment vertical="center"/>
    </xf>
    <xf numFmtId="0" fontId="29" fillId="6" borderId="7" xfId="0" applyFont="1" applyFill="1" applyBorder="1" applyAlignment="1">
      <alignment vertical="center"/>
    </xf>
    <xf numFmtId="3" fontId="29" fillId="6" borderId="7" xfId="0" applyNumberFormat="1" applyFont="1" applyFill="1" applyBorder="1" applyAlignment="1">
      <alignment vertical="center"/>
    </xf>
    <xf numFmtId="0" fontId="30" fillId="6" borderId="34" xfId="0" applyFont="1" applyFill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3" fontId="30" fillId="0" borderId="37" xfId="0" applyNumberFormat="1" applyFont="1" applyBorder="1" applyAlignment="1">
      <alignment vertical="center"/>
    </xf>
    <xf numFmtId="3" fontId="3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6" fillId="0" borderId="0" xfId="0" applyFont="1"/>
    <xf numFmtId="0" fontId="36" fillId="0" borderId="0" xfId="0" applyFont="1"/>
    <xf numFmtId="166" fontId="26" fillId="0" borderId="0" xfId="0" applyNumberFormat="1" applyFont="1"/>
    <xf numFmtId="17" fontId="36" fillId="0" borderId="0" xfId="0" applyNumberFormat="1" applyFont="1" applyAlignment="1">
      <alignment horizontal="center"/>
    </xf>
    <xf numFmtId="0" fontId="38" fillId="0" borderId="40" xfId="0" applyFont="1" applyBorder="1" applyAlignment="1">
      <alignment vertical="center"/>
    </xf>
    <xf numFmtId="14" fontId="26" fillId="0" borderId="0" xfId="0" applyNumberFormat="1" applyFont="1"/>
    <xf numFmtId="0" fontId="30" fillId="0" borderId="40" xfId="0" applyFont="1" applyBorder="1" applyAlignment="1">
      <alignment vertical="center"/>
    </xf>
    <xf numFmtId="0" fontId="38" fillId="0" borderId="44" xfId="0" applyFont="1" applyBorder="1" applyAlignment="1">
      <alignment vertical="center"/>
    </xf>
    <xf numFmtId="166" fontId="28" fillId="0" borderId="0" xfId="0" applyNumberFormat="1" applyFont="1"/>
    <xf numFmtId="0" fontId="26" fillId="0" borderId="46" xfId="0" applyFont="1" applyBorder="1"/>
    <xf numFmtId="0" fontId="26" fillId="0" borderId="27" xfId="0" applyFont="1" applyBorder="1"/>
    <xf numFmtId="0" fontId="28" fillId="0" borderId="47" xfId="0" applyFont="1" applyBorder="1"/>
    <xf numFmtId="166" fontId="28" fillId="0" borderId="27" xfId="0" applyNumberFormat="1" applyFont="1" applyBorder="1"/>
    <xf numFmtId="166" fontId="28" fillId="0" borderId="31" xfId="0" applyNumberFormat="1" applyFont="1" applyBorder="1"/>
    <xf numFmtId="0" fontId="26" fillId="0" borderId="11" xfId="0" applyFont="1" applyBorder="1"/>
    <xf numFmtId="0" fontId="26" fillId="0" borderId="48" xfId="0" applyFont="1" applyBorder="1"/>
    <xf numFmtId="0" fontId="26" fillId="0" borderId="49" xfId="0" applyFont="1" applyBorder="1"/>
    <xf numFmtId="166" fontId="26" fillId="0" borderId="29" xfId="0" applyNumberFormat="1" applyFont="1" applyBorder="1"/>
    <xf numFmtId="166" fontId="26" fillId="0" borderId="31" xfId="0" applyNumberFormat="1" applyFont="1" applyBorder="1"/>
    <xf numFmtId="0" fontId="26" fillId="0" borderId="16" xfId="0" applyFont="1" applyBorder="1"/>
    <xf numFmtId="0" fontId="26" fillId="0" borderId="30" xfId="0" applyFont="1" applyBorder="1"/>
    <xf numFmtId="0" fontId="28" fillId="0" borderId="50" xfId="0" applyFont="1" applyBorder="1"/>
    <xf numFmtId="0" fontId="26" fillId="0" borderId="50" xfId="0" applyFont="1" applyBorder="1"/>
    <xf numFmtId="166" fontId="26" fillId="0" borderId="30" xfId="0" applyNumberFormat="1" applyFont="1" applyBorder="1"/>
    <xf numFmtId="14" fontId="26" fillId="0" borderId="16" xfId="0" applyNumberFormat="1" applyFont="1" applyBorder="1"/>
    <xf numFmtId="14" fontId="26" fillId="0" borderId="32" xfId="0" applyNumberFormat="1" applyFont="1" applyBorder="1"/>
    <xf numFmtId="0" fontId="26" fillId="0" borderId="41" xfId="0" applyFont="1" applyBorder="1"/>
    <xf numFmtId="166" fontId="26" fillId="0" borderId="51" xfId="0" applyNumberFormat="1" applyFont="1" applyBorder="1"/>
    <xf numFmtId="14" fontId="26" fillId="0" borderId="19" xfId="0" applyNumberFormat="1" applyFont="1" applyBorder="1"/>
    <xf numFmtId="0" fontId="26" fillId="0" borderId="33" xfId="0" applyFont="1" applyBorder="1"/>
    <xf numFmtId="166" fontId="26" fillId="0" borderId="33" xfId="0" applyNumberFormat="1" applyFont="1" applyBorder="1"/>
    <xf numFmtId="14" fontId="28" fillId="0" borderId="6" xfId="0" applyNumberFormat="1" applyFont="1" applyBorder="1"/>
    <xf numFmtId="0" fontId="28" fillId="0" borderId="7" xfId="0" applyFont="1" applyBorder="1"/>
    <xf numFmtId="0" fontId="28" fillId="0" borderId="8" xfId="0" applyFont="1" applyBorder="1"/>
    <xf numFmtId="166" fontId="28" fillId="0" borderId="46" xfId="0" applyNumberFormat="1" applyFont="1" applyBorder="1"/>
    <xf numFmtId="169" fontId="28" fillId="0" borderId="1" xfId="0" applyNumberFormat="1" applyFont="1" applyBorder="1"/>
    <xf numFmtId="166" fontId="28" fillId="0" borderId="1" xfId="0" applyNumberFormat="1" applyFont="1" applyBorder="1" applyAlignment="1">
      <alignment horizontal="right" wrapText="1"/>
    </xf>
    <xf numFmtId="166" fontId="26" fillId="0" borderId="1" xfId="0" applyNumberFormat="1" applyFont="1" applyBorder="1"/>
    <xf numFmtId="0" fontId="28" fillId="0" borderId="46" xfId="0" applyFont="1" applyBorder="1"/>
    <xf numFmtId="166" fontId="26" fillId="0" borderId="27" xfId="0" applyNumberFormat="1" applyFont="1" applyBorder="1"/>
    <xf numFmtId="0" fontId="26" fillId="0" borderId="30" xfId="0" applyFont="1" applyBorder="1" applyAlignment="1">
      <alignment horizontal="center"/>
    </xf>
    <xf numFmtId="0" fontId="26" fillId="0" borderId="51" xfId="0" applyFont="1" applyBorder="1" applyAlignment="1">
      <alignment horizontal="center"/>
    </xf>
    <xf numFmtId="0" fontId="40" fillId="0" borderId="0" xfId="0" applyFont="1"/>
    <xf numFmtId="0" fontId="40" fillId="0" borderId="1" xfId="0" applyFont="1" applyBorder="1"/>
    <xf numFmtId="4" fontId="0" fillId="0" borderId="1" xfId="0" applyNumberFormat="1" applyBorder="1"/>
    <xf numFmtId="0" fontId="5" fillId="0" borderId="1" xfId="0" applyFont="1" applyBorder="1"/>
    <xf numFmtId="4" fontId="40" fillId="0" borderId="1" xfId="0" applyNumberFormat="1" applyFon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10" borderId="1" xfId="0" applyFill="1" applyBorder="1"/>
    <xf numFmtId="170" fontId="41" fillId="12" borderId="1" xfId="0" applyNumberFormat="1" applyFont="1" applyFill="1" applyBorder="1" applyAlignment="1">
      <alignment horizontal="center" vertical="center" wrapText="1"/>
    </xf>
    <xf numFmtId="166" fontId="41" fillId="12" borderId="1" xfId="0" applyNumberFormat="1" applyFont="1" applyFill="1" applyBorder="1" applyAlignment="1">
      <alignment horizontal="center" vertical="center" wrapText="1"/>
    </xf>
    <xf numFmtId="49" fontId="42" fillId="13" borderId="1" xfId="0" applyNumberFormat="1" applyFont="1" applyFill="1" applyBorder="1" applyAlignment="1">
      <alignment vertical="top" wrapText="1"/>
    </xf>
    <xf numFmtId="166" fontId="42" fillId="13" borderId="1" xfId="0" applyNumberFormat="1" applyFont="1" applyFill="1" applyBorder="1" applyAlignment="1">
      <alignment vertical="top" wrapText="1"/>
    </xf>
    <xf numFmtId="166" fontId="42" fillId="13" borderId="1" xfId="0" applyNumberFormat="1" applyFont="1" applyFill="1" applyBorder="1" applyAlignment="1">
      <alignment vertical="center" wrapText="1"/>
    </xf>
    <xf numFmtId="166" fontId="42" fillId="13" borderId="1" xfId="1" applyNumberFormat="1" applyFont="1" applyFill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166" fontId="43" fillId="0" borderId="1" xfId="0" applyNumberFormat="1" applyFont="1" applyBorder="1" applyAlignment="1">
      <alignment vertical="top" wrapText="1"/>
    </xf>
    <xf numFmtId="166" fontId="43" fillId="0" borderId="1" xfId="1" applyNumberFormat="1" applyFont="1" applyBorder="1" applyAlignment="1">
      <alignment vertical="top" wrapText="1"/>
    </xf>
    <xf numFmtId="17" fontId="43" fillId="0" borderId="1" xfId="0" applyNumberFormat="1" applyFont="1" applyBorder="1" applyAlignment="1">
      <alignment vertical="top" wrapText="1"/>
    </xf>
    <xf numFmtId="166" fontId="42" fillId="0" borderId="1" xfId="0" applyNumberFormat="1" applyFont="1" applyBorder="1" applyAlignment="1">
      <alignment vertical="top" wrapText="1"/>
    </xf>
    <xf numFmtId="166" fontId="42" fillId="0" borderId="1" xfId="0" applyNumberFormat="1" applyFont="1" applyBorder="1" applyAlignment="1">
      <alignment vertical="center" wrapText="1"/>
    </xf>
    <xf numFmtId="166" fontId="42" fillId="0" borderId="1" xfId="1" applyNumberFormat="1" applyFont="1" applyFill="1" applyBorder="1" applyAlignment="1">
      <alignment vertical="top" wrapText="1"/>
    </xf>
    <xf numFmtId="166" fontId="44" fillId="0" borderId="1" xfId="0" applyNumberFormat="1" applyFont="1" applyBorder="1" applyAlignment="1">
      <alignment vertical="center" wrapText="1"/>
    </xf>
    <xf numFmtId="49" fontId="44" fillId="0" borderId="1" xfId="0" applyNumberFormat="1" applyFont="1" applyBorder="1" applyAlignment="1">
      <alignment vertical="top" wrapText="1"/>
    </xf>
    <xf numFmtId="0" fontId="44" fillId="0" borderId="1" xfId="0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166" fontId="43" fillId="0" borderId="3" xfId="0" applyNumberFormat="1" applyFont="1" applyBorder="1" applyAlignment="1">
      <alignment vertical="top" wrapText="1"/>
    </xf>
    <xf numFmtId="166" fontId="43" fillId="0" borderId="3" xfId="1" applyNumberFormat="1" applyFont="1" applyBorder="1" applyAlignment="1">
      <alignment vertical="top" wrapText="1"/>
    </xf>
    <xf numFmtId="0" fontId="43" fillId="13" borderId="6" xfId="0" applyFont="1" applyFill="1" applyBorder="1" applyAlignment="1">
      <alignment vertical="top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/>
    <xf numFmtId="0" fontId="46" fillId="0" borderId="1" xfId="0" applyFont="1" applyBorder="1" applyAlignment="1">
      <alignment horizontal="left"/>
    </xf>
    <xf numFmtId="17" fontId="29" fillId="0" borderId="0" xfId="0" applyNumberFormat="1" applyFont="1" applyAlignment="1">
      <alignment vertical="center"/>
    </xf>
    <xf numFmtId="171" fontId="48" fillId="0" borderId="1" xfId="3" applyNumberFormat="1" applyFont="1" applyBorder="1"/>
    <xf numFmtId="0" fontId="46" fillId="0" borderId="1" xfId="0" applyFont="1" applyBorder="1"/>
    <xf numFmtId="0" fontId="49" fillId="0" borderId="1" xfId="0" applyFont="1" applyBorder="1" applyAlignment="1">
      <alignment horizontal="left"/>
    </xf>
    <xf numFmtId="168" fontId="45" fillId="0" borderId="1" xfId="1" applyNumberFormat="1" applyFont="1" applyBorder="1"/>
    <xf numFmtId="168" fontId="50" fillId="0" borderId="9" xfId="1" applyNumberFormat="1" applyFont="1" applyBorder="1"/>
    <xf numFmtId="168" fontId="46" fillId="0" borderId="1" xfId="1" applyNumberFormat="1" applyFont="1" applyFill="1" applyBorder="1"/>
    <xf numFmtId="168" fontId="46" fillId="0" borderId="9" xfId="1" applyNumberFormat="1" applyFont="1" applyFill="1" applyBorder="1"/>
    <xf numFmtId="0" fontId="0" fillId="0" borderId="3" xfId="0" applyBorder="1"/>
    <xf numFmtId="166" fontId="8" fillId="0" borderId="4" xfId="1" applyNumberFormat="1" applyFont="1" applyBorder="1"/>
    <xf numFmtId="172" fontId="50" fillId="5" borderId="1" xfId="0" applyNumberFormat="1" applyFont="1" applyFill="1" applyBorder="1"/>
    <xf numFmtId="172" fontId="49" fillId="0" borderId="1" xfId="0" applyNumberFormat="1" applyFont="1" applyBorder="1"/>
    <xf numFmtId="172" fontId="50" fillId="0" borderId="1" xfId="0" applyNumberFormat="1" applyFont="1" applyBorder="1"/>
    <xf numFmtId="172" fontId="45" fillId="5" borderId="1" xfId="0" applyNumberFormat="1" applyFont="1" applyFill="1" applyBorder="1" applyAlignment="1">
      <alignment vertical="top"/>
    </xf>
    <xf numFmtId="173" fontId="51" fillId="0" borderId="1" xfId="3" applyNumberFormat="1" applyFont="1" applyBorder="1"/>
    <xf numFmtId="0" fontId="52" fillId="0" borderId="1" xfId="0" applyFont="1" applyBorder="1"/>
    <xf numFmtId="1" fontId="52" fillId="0" borderId="1" xfId="0" applyNumberFormat="1" applyFont="1" applyBorder="1"/>
    <xf numFmtId="174" fontId="52" fillId="0" borderId="1" xfId="0" applyNumberFormat="1" applyFont="1" applyBorder="1"/>
    <xf numFmtId="0" fontId="0" fillId="5" borderId="1" xfId="0" applyFill="1" applyBorder="1"/>
    <xf numFmtId="14" fontId="40" fillId="5" borderId="1" xfId="0" applyNumberFormat="1" applyFont="1" applyFill="1" applyBorder="1"/>
    <xf numFmtId="0" fontId="40" fillId="5" borderId="1" xfId="0" applyFont="1" applyFill="1" applyBorder="1"/>
    <xf numFmtId="3" fontId="41" fillId="1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54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175" fontId="55" fillId="0" borderId="0" xfId="0" applyNumberFormat="1" applyFont="1"/>
    <xf numFmtId="0" fontId="55" fillId="0" borderId="0" xfId="0" applyFont="1"/>
    <xf numFmtId="0" fontId="56" fillId="0" borderId="0" xfId="0" applyFont="1"/>
    <xf numFmtId="3" fontId="55" fillId="0" borderId="0" xfId="0" applyNumberFormat="1" applyFont="1"/>
    <xf numFmtId="176" fontId="56" fillId="0" borderId="0" xfId="0" applyNumberFormat="1" applyFont="1"/>
    <xf numFmtId="175" fontId="56" fillId="14" borderId="52" xfId="3" applyNumberFormat="1" applyFont="1" applyFill="1" applyBorder="1"/>
    <xf numFmtId="177" fontId="56" fillId="14" borderId="52" xfId="3" applyNumberFormat="1" applyFont="1" applyFill="1" applyBorder="1"/>
    <xf numFmtId="3" fontId="56" fillId="14" borderId="52" xfId="4" applyNumberFormat="1" applyFont="1" applyFill="1" applyBorder="1"/>
    <xf numFmtId="176" fontId="56" fillId="14" borderId="53" xfId="4" applyNumberFormat="1" applyFont="1" applyFill="1" applyBorder="1"/>
    <xf numFmtId="177" fontId="55" fillId="0" borderId="0" xfId="3" applyNumberFormat="1" applyFont="1"/>
    <xf numFmtId="0" fontId="59" fillId="0" borderId="1" xfId="0" applyFont="1" applyBorder="1" applyAlignment="1">
      <alignment vertical="center"/>
    </xf>
    <xf numFmtId="0" fontId="60" fillId="5" borderId="1" xfId="0" applyFont="1" applyFill="1" applyBorder="1" applyAlignment="1">
      <alignment vertical="center"/>
    </xf>
    <xf numFmtId="0" fontId="61" fillId="0" borderId="1" xfId="0" applyFont="1" applyBorder="1"/>
    <xf numFmtId="0" fontId="52" fillId="5" borderId="1" xfId="0" applyFont="1" applyFill="1" applyBorder="1"/>
    <xf numFmtId="175" fontId="59" fillId="5" borderId="1" xfId="3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1" fontId="0" fillId="0" borderId="1" xfId="0" applyNumberFormat="1" applyBorder="1"/>
    <xf numFmtId="164" fontId="0" fillId="0" borderId="0" xfId="0" applyNumberFormat="1"/>
    <xf numFmtId="168" fontId="5" fillId="5" borderId="0" xfId="1" applyNumberFormat="1" applyFont="1" applyFill="1" applyBorder="1"/>
    <xf numFmtId="0" fontId="64" fillId="0" borderId="0" xfId="0" applyFont="1"/>
    <xf numFmtId="3" fontId="64" fillId="0" borderId="0" xfId="0" applyNumberFormat="1" applyFont="1"/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right"/>
    </xf>
    <xf numFmtId="166" fontId="10" fillId="3" borderId="1" xfId="1" applyNumberFormat="1" applyFont="1" applyFill="1" applyBorder="1"/>
    <xf numFmtId="166" fontId="11" fillId="3" borderId="1" xfId="0" applyNumberFormat="1" applyFont="1" applyFill="1" applyBorder="1" applyAlignment="1">
      <alignment vertical="top" wrapText="1"/>
    </xf>
    <xf numFmtId="166" fontId="12" fillId="3" borderId="1" xfId="1" applyNumberFormat="1" applyFont="1" applyFill="1" applyBorder="1"/>
    <xf numFmtId="166" fontId="12" fillId="3" borderId="2" xfId="1" applyNumberFormat="1" applyFont="1" applyFill="1" applyBorder="1"/>
    <xf numFmtId="176" fontId="0" fillId="0" borderId="0" xfId="0" applyNumberFormat="1"/>
    <xf numFmtId="168" fontId="46" fillId="0" borderId="0" xfId="1" applyNumberFormat="1" applyFont="1" applyFill="1" applyBorder="1"/>
    <xf numFmtId="168" fontId="0" fillId="0" borderId="0" xfId="0" applyNumberFormat="1"/>
    <xf numFmtId="3" fontId="0" fillId="3" borderId="1" xfId="0" applyNumberFormat="1" applyFill="1" applyBorder="1"/>
    <xf numFmtId="166" fontId="46" fillId="2" borderId="9" xfId="1" applyNumberFormat="1" applyFont="1" applyFill="1" applyBorder="1"/>
    <xf numFmtId="166" fontId="50" fillId="0" borderId="9" xfId="1" applyNumberFormat="1" applyFont="1" applyBorder="1"/>
    <xf numFmtId="166" fontId="0" fillId="0" borderId="0" xfId="0" applyNumberFormat="1"/>
    <xf numFmtId="171" fontId="48" fillId="5" borderId="1" xfId="3" applyNumberFormat="1" applyFont="1" applyFill="1" applyBorder="1"/>
    <xf numFmtId="0" fontId="45" fillId="5" borderId="1" xfId="0" applyFont="1" applyFill="1" applyBorder="1" applyAlignment="1">
      <alignment horizontal="left" vertical="center"/>
    </xf>
    <xf numFmtId="168" fontId="45" fillId="5" borderId="1" xfId="1" applyNumberFormat="1" applyFont="1" applyFill="1" applyBorder="1"/>
    <xf numFmtId="168" fontId="46" fillId="5" borderId="1" xfId="1" applyNumberFormat="1" applyFont="1" applyFill="1" applyBorder="1"/>
    <xf numFmtId="0" fontId="45" fillId="5" borderId="1" xfId="0" applyFont="1" applyFill="1" applyBorder="1"/>
    <xf numFmtId="181" fontId="41" fillId="12" borderId="4" xfId="0" applyNumberFormat="1" applyFont="1" applyFill="1" applyBorder="1" applyAlignment="1">
      <alignment horizontal="center" vertical="center" wrapText="1"/>
    </xf>
    <xf numFmtId="181" fontId="0" fillId="0" borderId="0" xfId="0" applyNumberFormat="1"/>
    <xf numFmtId="14" fontId="40" fillId="0" borderId="1" xfId="0" applyNumberFormat="1" applyFont="1" applyBorder="1"/>
    <xf numFmtId="3" fontId="0" fillId="5" borderId="1" xfId="0" applyNumberFormat="1" applyFill="1" applyBorder="1"/>
    <xf numFmtId="0" fontId="53" fillId="0" borderId="1" xfId="0" applyFont="1" applyBorder="1"/>
    <xf numFmtId="173" fontId="51" fillId="5" borderId="1" xfId="3" applyNumberFormat="1" applyFont="1" applyFill="1" applyBorder="1"/>
    <xf numFmtId="168" fontId="50" fillId="5" borderId="1" xfId="1" applyNumberFormat="1" applyFont="1" applyFill="1" applyBorder="1"/>
    <xf numFmtId="0" fontId="49" fillId="5" borderId="1" xfId="0" applyFont="1" applyFill="1" applyBorder="1" applyAlignment="1">
      <alignment horizontal="left"/>
    </xf>
    <xf numFmtId="0" fontId="45" fillId="0" borderId="9" xfId="0" applyFont="1" applyBorder="1"/>
    <xf numFmtId="172" fontId="50" fillId="5" borderId="9" xfId="0" applyNumberFormat="1" applyFont="1" applyFill="1" applyBorder="1"/>
    <xf numFmtId="0" fontId="45" fillId="5" borderId="9" xfId="0" applyFont="1" applyFill="1" applyBorder="1"/>
    <xf numFmtId="0" fontId="46" fillId="0" borderId="1" xfId="0" applyFont="1" applyBorder="1" applyAlignment="1">
      <alignment horizontal="left" wrapText="1"/>
    </xf>
    <xf numFmtId="0" fontId="0" fillId="5" borderId="0" xfId="0" applyFill="1"/>
    <xf numFmtId="0" fontId="69" fillId="5" borderId="1" xfId="0" applyFont="1" applyFill="1" applyBorder="1"/>
    <xf numFmtId="0" fontId="60" fillId="5" borderId="0" xfId="0" applyFont="1" applyFill="1" applyAlignment="1">
      <alignment vertical="center"/>
    </xf>
    <xf numFmtId="14" fontId="60" fillId="5" borderId="1" xfId="0" applyNumberFormat="1" applyFont="1" applyFill="1" applyBorder="1" applyAlignment="1">
      <alignment vertical="center"/>
    </xf>
    <xf numFmtId="0" fontId="60" fillId="5" borderId="1" xfId="0" applyFont="1" applyFill="1" applyBorder="1"/>
    <xf numFmtId="174" fontId="0" fillId="0" borderId="1" xfId="0" applyNumberFormat="1" applyBorder="1"/>
    <xf numFmtId="1" fontId="0" fillId="0" borderId="1" xfId="0" applyNumberFormat="1" applyBorder="1" applyAlignment="1">
      <alignment vertical="center"/>
    </xf>
    <xf numFmtId="0" fontId="0" fillId="0" borderId="2" xfId="0" applyBorder="1"/>
    <xf numFmtId="0" fontId="52" fillId="0" borderId="2" xfId="0" applyFont="1" applyBorder="1"/>
    <xf numFmtId="168" fontId="45" fillId="0" borderId="2" xfId="1" applyNumberFormat="1" applyFont="1" applyBorder="1"/>
    <xf numFmtId="174" fontId="0" fillId="0" borderId="0" xfId="0" applyNumberFormat="1"/>
    <xf numFmtId="168" fontId="59" fillId="5" borderId="1" xfId="5" applyNumberFormat="1" applyFont="1" applyFill="1" applyBorder="1" applyProtection="1"/>
    <xf numFmtId="168" fontId="52" fillId="5" borderId="1" xfId="1" applyNumberFormat="1" applyFont="1" applyFill="1" applyBorder="1"/>
    <xf numFmtId="180" fontId="69" fillId="5" borderId="1" xfId="4" applyNumberFormat="1" applyFont="1" applyFill="1" applyBorder="1"/>
    <xf numFmtId="0" fontId="70" fillId="0" borderId="1" xfId="0" applyFont="1" applyBorder="1"/>
    <xf numFmtId="0" fontId="71" fillId="0" borderId="1" xfId="0" applyFont="1" applyBorder="1"/>
    <xf numFmtId="0" fontId="72" fillId="0" borderId="1" xfId="0" applyFont="1" applyBorder="1"/>
    <xf numFmtId="0" fontId="72" fillId="0" borderId="0" xfId="0" applyFont="1"/>
    <xf numFmtId="0" fontId="73" fillId="0" borderId="1" xfId="0" applyFont="1" applyBorder="1" applyAlignment="1">
      <alignment horizontal="left"/>
    </xf>
    <xf numFmtId="173" fontId="52" fillId="0" borderId="1" xfId="3" applyNumberFormat="1" applyFont="1" applyBorder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4" fillId="0" borderId="1" xfId="0" applyFont="1" applyBorder="1"/>
    <xf numFmtId="173" fontId="74" fillId="0" borderId="1" xfId="3" applyNumberFormat="1" applyFont="1" applyBorder="1" applyAlignment="1">
      <alignment horizontal="right"/>
    </xf>
    <xf numFmtId="168" fontId="40" fillId="5" borderId="1" xfId="9" applyNumberFormat="1" applyFont="1" applyFill="1" applyBorder="1"/>
    <xf numFmtId="0" fontId="53" fillId="5" borderId="1" xfId="0" applyFont="1" applyFill="1" applyBorder="1"/>
    <xf numFmtId="168" fontId="0" fillId="0" borderId="1" xfId="9" applyNumberFormat="1" applyFont="1" applyFill="1" applyBorder="1"/>
    <xf numFmtId="168" fontId="53" fillId="0" borderId="1" xfId="9" applyNumberFormat="1" applyFont="1" applyFill="1" applyBorder="1"/>
    <xf numFmtId="0" fontId="0" fillId="0" borderId="0" xfId="0" pivotButton="1"/>
    <xf numFmtId="168" fontId="53" fillId="5" borderId="1" xfId="9" applyNumberFormat="1" applyFont="1" applyFill="1" applyBorder="1"/>
    <xf numFmtId="168" fontId="65" fillId="5" borderId="1" xfId="9" applyNumberFormat="1" applyFont="1" applyFill="1" applyBorder="1"/>
    <xf numFmtId="168" fontId="53" fillId="5" borderId="9" xfId="9" applyNumberFormat="1" applyFont="1" applyFill="1" applyBorder="1"/>
    <xf numFmtId="168" fontId="2" fillId="5" borderId="1" xfId="9" applyNumberFormat="1" applyFont="1" applyFill="1" applyBorder="1"/>
    <xf numFmtId="168" fontId="2" fillId="0" borderId="9" xfId="9" applyNumberFormat="1" applyFont="1" applyFill="1" applyBorder="1"/>
    <xf numFmtId="168" fontId="2" fillId="0" borderId="1" xfId="9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indent="1"/>
    </xf>
    <xf numFmtId="0" fontId="46" fillId="5" borderId="1" xfId="0" applyFont="1" applyFill="1" applyBorder="1" applyAlignment="1">
      <alignment horizontal="left"/>
    </xf>
    <xf numFmtId="172" fontId="49" fillId="5" borderId="1" xfId="0" applyNumberFormat="1" applyFont="1" applyFill="1" applyBorder="1"/>
    <xf numFmtId="168" fontId="46" fillId="5" borderId="9" xfId="1" applyNumberFormat="1" applyFont="1" applyFill="1" applyBorder="1"/>
    <xf numFmtId="175" fontId="58" fillId="5" borderId="1" xfId="3" applyNumberFormat="1" applyFont="1" applyFill="1" applyBorder="1" applyAlignment="1">
      <alignment vertical="top" wrapText="1"/>
    </xf>
    <xf numFmtId="180" fontId="67" fillId="15" borderId="1" xfId="4" applyNumberFormat="1" applyFont="1" applyFill="1" applyBorder="1"/>
    <xf numFmtId="175" fontId="58" fillId="5" borderId="2" xfId="3" applyNumberFormat="1" applyFont="1" applyFill="1" applyBorder="1" applyAlignment="1">
      <alignment vertical="top" wrapText="1"/>
    </xf>
    <xf numFmtId="0" fontId="59" fillId="5" borderId="1" xfId="0" applyFont="1" applyFill="1" applyBorder="1" applyAlignment="1">
      <alignment vertical="center"/>
    </xf>
    <xf numFmtId="3" fontId="59" fillId="5" borderId="1" xfId="0" applyNumberFormat="1" applyFont="1" applyFill="1" applyBorder="1" applyAlignment="1">
      <alignment vertical="center"/>
    </xf>
    <xf numFmtId="0" fontId="59" fillId="5" borderId="0" xfId="0" applyFont="1" applyFill="1" applyAlignment="1">
      <alignment vertical="center"/>
    </xf>
    <xf numFmtId="175" fontId="59" fillId="5" borderId="0" xfId="3" applyNumberFormat="1" applyFont="1" applyFill="1" applyAlignment="1">
      <alignment horizontal="center" vertical="top" wrapText="1"/>
    </xf>
    <xf numFmtId="3" fontId="59" fillId="5" borderId="0" xfId="0" applyNumberFormat="1" applyFont="1" applyFill="1" applyAlignment="1">
      <alignment vertical="center"/>
    </xf>
    <xf numFmtId="176" fontId="59" fillId="5" borderId="0" xfId="5" applyNumberFormat="1" applyFont="1" applyFill="1" applyProtection="1"/>
    <xf numFmtId="14" fontId="26" fillId="5" borderId="0" xfId="0" applyNumberFormat="1" applyFont="1" applyFill="1"/>
    <xf numFmtId="14" fontId="59" fillId="5" borderId="1" xfId="0" applyNumberFormat="1" applyFont="1" applyFill="1" applyBorder="1" applyAlignment="1">
      <alignment vertical="center"/>
    </xf>
    <xf numFmtId="0" fontId="52" fillId="5" borderId="4" xfId="0" applyFont="1" applyFill="1" applyBorder="1"/>
    <xf numFmtId="175" fontId="59" fillId="5" borderId="0" xfId="3" applyNumberFormat="1" applyFont="1" applyFill="1" applyAlignment="1">
      <alignment vertical="top" wrapText="1"/>
    </xf>
    <xf numFmtId="15" fontId="68" fillId="5" borderId="1" xfId="0" applyNumberFormat="1" applyFont="1" applyFill="1" applyBorder="1"/>
    <xf numFmtId="0" fontId="68" fillId="5" borderId="1" xfId="0" applyFont="1" applyFill="1" applyBorder="1"/>
    <xf numFmtId="176" fontId="63" fillId="5" borderId="54" xfId="4" applyNumberFormat="1" applyFont="1" applyFill="1" applyBorder="1" applyAlignment="1">
      <alignment horizontal="center" vertical="center"/>
    </xf>
    <xf numFmtId="0" fontId="59" fillId="5" borderId="1" xfId="0" applyFont="1" applyFill="1" applyBorder="1"/>
    <xf numFmtId="14" fontId="40" fillId="5" borderId="0" xfId="0" applyNumberFormat="1" applyFont="1" applyFill="1"/>
    <xf numFmtId="14" fontId="26" fillId="5" borderId="1" xfId="0" applyNumberFormat="1" applyFont="1" applyFill="1" applyBorder="1"/>
    <xf numFmtId="0" fontId="54" fillId="5" borderId="1" xfId="0" applyFont="1" applyFill="1" applyBorder="1"/>
    <xf numFmtId="3" fontId="59" fillId="5" borderId="1" xfId="0" applyNumberFormat="1" applyFont="1" applyFill="1" applyBorder="1"/>
    <xf numFmtId="176" fontId="63" fillId="5" borderId="1" xfId="4" applyNumberFormat="1" applyFont="1" applyFill="1" applyBorder="1"/>
    <xf numFmtId="179" fontId="59" fillId="5" borderId="1" xfId="3" applyNumberFormat="1" applyFont="1" applyFill="1" applyBorder="1" applyAlignment="1">
      <alignment vertical="top" wrapText="1"/>
    </xf>
    <xf numFmtId="0" fontId="59" fillId="5" borderId="0" xfId="0" applyFont="1" applyFill="1"/>
    <xf numFmtId="173" fontId="74" fillId="5" borderId="1" xfId="3" applyNumberFormat="1" applyFont="1" applyFill="1" applyBorder="1" applyAlignment="1">
      <alignment horizontal="right"/>
    </xf>
    <xf numFmtId="0" fontId="50" fillId="5" borderId="1" xfId="0" applyFont="1" applyFill="1" applyBorder="1"/>
    <xf numFmtId="0" fontId="50" fillId="5" borderId="1" xfId="3" applyFont="1" applyFill="1" applyBorder="1"/>
    <xf numFmtId="0" fontId="74" fillId="5" borderId="1" xfId="3" applyFont="1" applyFill="1" applyBorder="1"/>
    <xf numFmtId="180" fontId="74" fillId="5" borderId="1" xfId="4" applyNumberFormat="1" applyFont="1" applyFill="1" applyBorder="1" applyAlignment="1">
      <alignment vertical="top"/>
    </xf>
    <xf numFmtId="180" fontId="74" fillId="5" borderId="1" xfId="4" applyNumberFormat="1" applyFont="1" applyFill="1" applyBorder="1" applyAlignment="1">
      <alignment horizontal="right" vertical="top" wrapText="1"/>
    </xf>
    <xf numFmtId="179" fontId="74" fillId="5" borderId="1" xfId="3" applyNumberFormat="1" applyFont="1" applyFill="1" applyBorder="1" applyAlignment="1">
      <alignment vertical="top" wrapText="1"/>
    </xf>
    <xf numFmtId="179" fontId="74" fillId="5" borderId="1" xfId="3" applyNumberFormat="1" applyFont="1" applyFill="1" applyBorder="1" applyAlignment="1">
      <alignment vertical="top"/>
    </xf>
    <xf numFmtId="0" fontId="4" fillId="5" borderId="1" xfId="0" applyFont="1" applyFill="1" applyBorder="1"/>
    <xf numFmtId="168" fontId="1" fillId="5" borderId="1" xfId="1" applyNumberFormat="1" applyFont="1" applyFill="1" applyBorder="1"/>
    <xf numFmtId="175" fontId="58" fillId="5" borderId="1" xfId="0" applyNumberFormat="1" applyFont="1" applyFill="1" applyBorder="1"/>
    <xf numFmtId="175" fontId="59" fillId="5" borderId="0" xfId="0" applyNumberFormat="1" applyFont="1" applyFill="1"/>
    <xf numFmtId="0" fontId="63" fillId="5" borderId="0" xfId="0" applyFont="1" applyFill="1"/>
    <xf numFmtId="3" fontId="59" fillId="5" borderId="0" xfId="0" applyNumberFormat="1" applyFont="1" applyFill="1"/>
    <xf numFmtId="176" fontId="63" fillId="5" borderId="0" xfId="0" applyNumberFormat="1" applyFont="1" applyFill="1"/>
    <xf numFmtId="175" fontId="63" fillId="16" borderId="52" xfId="3" applyNumberFormat="1" applyFont="1" applyFill="1" applyBorder="1"/>
    <xf numFmtId="177" fontId="63" fillId="16" borderId="52" xfId="3" applyNumberFormat="1" applyFont="1" applyFill="1" applyBorder="1"/>
    <xf numFmtId="3" fontId="63" fillId="16" borderId="52" xfId="4" applyNumberFormat="1" applyFont="1" applyFill="1" applyBorder="1"/>
    <xf numFmtId="176" fontId="63" fillId="16" borderId="52" xfId="4" applyNumberFormat="1" applyFont="1" applyFill="1" applyBorder="1"/>
    <xf numFmtId="177" fontId="59" fillId="5" borderId="0" xfId="3" applyNumberFormat="1" applyFont="1" applyFill="1"/>
    <xf numFmtId="14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168" fontId="60" fillId="5" borderId="1" xfId="0" applyNumberFormat="1" applyFont="1" applyFill="1" applyBorder="1"/>
    <xf numFmtId="0" fontId="4" fillId="5" borderId="0" xfId="0" applyFont="1" applyFill="1" applyAlignment="1">
      <alignment vertical="center"/>
    </xf>
    <xf numFmtId="175" fontId="58" fillId="5" borderId="0" xfId="0" applyNumberFormat="1" applyFont="1" applyFill="1"/>
    <xf numFmtId="3" fontId="63" fillId="5" borderId="0" xfId="0" applyNumberFormat="1" applyFont="1" applyFill="1"/>
    <xf numFmtId="175" fontId="75" fillId="16" borderId="52" xfId="3" applyNumberFormat="1" applyFont="1" applyFill="1" applyBorder="1"/>
    <xf numFmtId="176" fontId="63" fillId="16" borderId="53" xfId="4" applyNumberFormat="1" applyFont="1" applyFill="1" applyBorder="1"/>
    <xf numFmtId="168" fontId="4" fillId="5" borderId="1" xfId="0" applyNumberFormat="1" applyFont="1" applyFill="1" applyBorder="1"/>
    <xf numFmtId="14" fontId="4" fillId="5" borderId="1" xfId="0" applyNumberFormat="1" applyFont="1" applyFill="1" applyBorder="1"/>
    <xf numFmtId="168" fontId="4" fillId="5" borderId="1" xfId="1" applyNumberFormat="1" applyFont="1" applyFill="1" applyBorder="1"/>
    <xf numFmtId="168" fontId="1" fillId="5" borderId="9" xfId="1" applyNumberFormat="1" applyFont="1" applyFill="1" applyBorder="1"/>
    <xf numFmtId="0" fontId="1" fillId="5" borderId="1" xfId="0" applyFont="1" applyFill="1" applyBorder="1"/>
    <xf numFmtId="176" fontId="59" fillId="5" borderId="1" xfId="5" applyNumberFormat="1" applyFont="1" applyFill="1" applyBorder="1" applyProtection="1"/>
    <xf numFmtId="0" fontId="4" fillId="5" borderId="0" xfId="0" applyFont="1" applyFill="1"/>
    <xf numFmtId="0" fontId="4" fillId="5" borderId="3" xfId="0" applyFont="1" applyFill="1" applyBorder="1"/>
    <xf numFmtId="0" fontId="4" fillId="5" borderId="4" xfId="0" applyFont="1" applyFill="1" applyBorder="1"/>
    <xf numFmtId="176" fontId="63" fillId="5" borderId="0" xfId="4" applyNumberFormat="1" applyFont="1" applyFill="1" applyBorder="1"/>
    <xf numFmtId="176" fontId="4" fillId="5" borderId="1" xfId="1" applyNumberFormat="1" applyFont="1" applyFill="1" applyBorder="1"/>
    <xf numFmtId="176" fontId="40" fillId="5" borderId="0" xfId="1" applyNumberFormat="1" applyFont="1" applyFill="1" applyBorder="1"/>
    <xf numFmtId="3" fontId="59" fillId="5" borderId="9" xfId="0" applyNumberFormat="1" applyFont="1" applyFill="1" applyBorder="1"/>
    <xf numFmtId="15" fontId="4" fillId="5" borderId="1" xfId="0" applyNumberFormat="1" applyFont="1" applyFill="1" applyBorder="1"/>
    <xf numFmtId="180" fontId="61" fillId="15" borderId="1" xfId="4" applyNumberFormat="1" applyFont="1" applyFill="1" applyBorder="1"/>
    <xf numFmtId="15" fontId="4" fillId="5" borderId="1" xfId="0" applyNumberFormat="1" applyFont="1" applyFill="1" applyBorder="1" applyAlignment="1">
      <alignment horizontal="right"/>
    </xf>
    <xf numFmtId="176" fontId="63" fillId="5" borderId="0" xfId="4" applyNumberFormat="1" applyFont="1" applyFill="1" applyBorder="1" applyAlignment="1">
      <alignment horizontal="center" vertical="center"/>
    </xf>
    <xf numFmtId="175" fontId="4" fillId="5" borderId="0" xfId="0" applyNumberFormat="1" applyFont="1" applyFill="1"/>
    <xf numFmtId="3" fontId="4" fillId="5" borderId="0" xfId="0" applyNumberFormat="1" applyFont="1" applyFill="1"/>
    <xf numFmtId="176" fontId="61" fillId="15" borderId="0" xfId="4" applyNumberFormat="1" applyFont="1" applyFill="1" applyBorder="1"/>
    <xf numFmtId="176" fontId="63" fillId="5" borderId="1" xfId="4" applyNumberFormat="1" applyFont="1" applyFill="1" applyBorder="1" applyAlignment="1">
      <alignment horizontal="center" vertical="center"/>
    </xf>
    <xf numFmtId="168" fontId="4" fillId="5" borderId="0" xfId="1" applyNumberFormat="1" applyFont="1" applyFill="1" applyBorder="1"/>
    <xf numFmtId="168" fontId="40" fillId="5" borderId="0" xfId="1" applyNumberFormat="1" applyFont="1" applyFill="1" applyBorder="1"/>
    <xf numFmtId="14" fontId="17" fillId="5" borderId="0" xfId="0" applyNumberFormat="1" applyFont="1" applyFill="1" applyAlignment="1">
      <alignment horizontal="right" vertical="center"/>
    </xf>
    <xf numFmtId="168" fontId="60" fillId="5" borderId="1" xfId="1" applyNumberFormat="1" applyFont="1" applyFill="1" applyBorder="1" applyProtection="1"/>
    <xf numFmtId="0" fontId="60" fillId="5" borderId="3" xfId="0" applyFont="1" applyFill="1" applyBorder="1"/>
    <xf numFmtId="168" fontId="4" fillId="5" borderId="3" xfId="1" applyNumberFormat="1" applyFont="1" applyFill="1" applyBorder="1"/>
    <xf numFmtId="168" fontId="60" fillId="5" borderId="3" xfId="1" applyNumberFormat="1" applyFont="1" applyFill="1" applyBorder="1" applyProtection="1"/>
    <xf numFmtId="14" fontId="17" fillId="5" borderId="1" xfId="0" applyNumberFormat="1" applyFont="1" applyFill="1" applyBorder="1" applyAlignment="1">
      <alignment horizontal="right" vertical="center"/>
    </xf>
    <xf numFmtId="3" fontId="4" fillId="5" borderId="1" xfId="0" applyNumberFormat="1" applyFont="1" applyFill="1" applyBorder="1"/>
    <xf numFmtId="173" fontId="52" fillId="3" borderId="1" xfId="3" applyNumberFormat="1" applyFont="1" applyFill="1" applyBorder="1"/>
    <xf numFmtId="0" fontId="52" fillId="3" borderId="1" xfId="0" applyFont="1" applyFill="1" applyBorder="1"/>
    <xf numFmtId="1" fontId="0" fillId="3" borderId="1" xfId="0" applyNumberFormat="1" applyFill="1" applyBorder="1" applyAlignment="1">
      <alignment vertical="center"/>
    </xf>
    <xf numFmtId="0" fontId="0" fillId="3" borderId="1" xfId="0" applyFill="1" applyBorder="1"/>
    <xf numFmtId="0" fontId="0" fillId="3" borderId="0" xfId="0" applyFill="1"/>
    <xf numFmtId="173" fontId="52" fillId="5" borderId="1" xfId="3" applyNumberFormat="1" applyFont="1" applyFill="1" applyBorder="1"/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166" fontId="24" fillId="8" borderId="13" xfId="0" applyNumberFormat="1" applyFont="1" applyFill="1" applyBorder="1" applyAlignment="1">
      <alignment horizontal="center"/>
    </xf>
    <xf numFmtId="175" fontId="59" fillId="5" borderId="2" xfId="3" applyNumberFormat="1" applyFont="1" applyFill="1" applyBorder="1" applyAlignment="1">
      <alignment horizontal="center" vertical="top" wrapText="1"/>
    </xf>
    <xf numFmtId="175" fontId="59" fillId="5" borderId="50" xfId="3" applyNumberFormat="1" applyFont="1" applyFill="1" applyBorder="1" applyAlignment="1">
      <alignment horizontal="center" vertical="top" wrapText="1"/>
    </xf>
    <xf numFmtId="175" fontId="59" fillId="5" borderId="31" xfId="3" applyNumberFormat="1" applyFont="1" applyFill="1" applyBorder="1" applyAlignment="1">
      <alignment horizontal="center" vertical="top" wrapText="1"/>
    </xf>
    <xf numFmtId="0" fontId="63" fillId="5" borderId="0" xfId="0" applyFont="1" applyFill="1" applyAlignment="1">
      <alignment horizontal="center"/>
    </xf>
    <xf numFmtId="0" fontId="31" fillId="11" borderId="24" xfId="0" applyFont="1" applyFill="1" applyBorder="1" applyAlignment="1">
      <alignment horizontal="center" vertical="center"/>
    </xf>
    <xf numFmtId="0" fontId="31" fillId="11" borderId="25" xfId="0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66" fontId="38" fillId="0" borderId="41" xfId="0" applyNumberFormat="1" applyFont="1" applyBorder="1" applyAlignment="1">
      <alignment horizontal="left" vertical="center"/>
    </xf>
    <xf numFmtId="166" fontId="38" fillId="0" borderId="42" xfId="0" applyNumberFormat="1" applyFont="1" applyBorder="1" applyAlignment="1">
      <alignment horizontal="left" vertical="center"/>
    </xf>
    <xf numFmtId="49" fontId="39" fillId="0" borderId="0" xfId="0" applyNumberFormat="1" applyFont="1" applyAlignment="1">
      <alignment horizontal="left" vertical="center"/>
    </xf>
    <xf numFmtId="49" fontId="39" fillId="0" borderId="43" xfId="0" applyNumberFormat="1" applyFont="1" applyBorder="1" applyAlignment="1">
      <alignment horizontal="left" vertical="center"/>
    </xf>
    <xf numFmtId="166" fontId="38" fillId="0" borderId="22" xfId="0" applyNumberFormat="1" applyFont="1" applyBorder="1" applyAlignment="1">
      <alignment horizontal="center" vertical="center" wrapText="1"/>
    </xf>
    <xf numFmtId="166" fontId="38" fillId="0" borderId="45" xfId="0" applyNumberFormat="1" applyFont="1" applyBorder="1" applyAlignment="1">
      <alignment horizontal="center" vertical="center" wrapText="1"/>
    </xf>
  </cellXfs>
  <cellStyles count="11">
    <cellStyle name="Comma 2" xfId="8" xr:uid="{00000000-0005-0000-0000-000000000000}"/>
    <cellStyle name="Excel Built-in Comma" xfId="4" xr:uid="{00000000-0005-0000-0000-000001000000}"/>
    <cellStyle name="Excel Built-in Normal" xfId="3" xr:uid="{00000000-0005-0000-0000-000002000000}"/>
    <cellStyle name="Milliers" xfId="1" builtinId="3"/>
    <cellStyle name="Milliers 2" xfId="5" xr:uid="{00000000-0005-0000-0000-000004000000}"/>
    <cellStyle name="Milliers 3" xfId="9" xr:uid="{00000000-0005-0000-0000-000005000000}"/>
    <cellStyle name="Milliers 4" xfId="6" xr:uid="{00000000-0005-0000-0000-000006000000}"/>
    <cellStyle name="Milliers 4 2" xfId="10" xr:uid="{00000000-0005-0000-0000-000007000000}"/>
    <cellStyle name="Normal" xfId="0" builtinId="0"/>
    <cellStyle name="Normal 2" xfId="7" xr:uid="{00000000-0005-0000-0000-000009000000}"/>
    <cellStyle name="Normal_Total expenses by date" xfId="2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425744</xdr:colOff>
      <xdr:row>1</xdr:row>
      <xdr:rowOff>14112</xdr:rowOff>
    </xdr:from>
    <xdr:to>
      <xdr:col>15</xdr:col>
      <xdr:colOff>510355</xdr:colOff>
      <xdr:row>57</xdr:row>
      <xdr:rowOff>80617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8744" y="197556"/>
          <a:ext cx="6152389" cy="10579283"/>
        </a:xfrm>
        <a:prstGeom prst="rect">
          <a:avLst/>
        </a:prstGeom>
      </xdr:spPr>
    </xdr:pic>
    <xdr:clientData/>
  </xdr:twoCellAnchor>
  <xdr:twoCellAnchor editAs="oneCell">
    <xdr:from>
      <xdr:col>16</xdr:col>
      <xdr:colOff>99387</xdr:colOff>
      <xdr:row>1</xdr:row>
      <xdr:rowOff>0</xdr:rowOff>
    </xdr:from>
    <xdr:to>
      <xdr:col>26</xdr:col>
      <xdr:colOff>223217</xdr:colOff>
      <xdr:row>57</xdr:row>
      <xdr:rowOff>8835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6691" y="198783"/>
          <a:ext cx="6087309" cy="11273182"/>
        </a:xfrm>
        <a:prstGeom prst="rect">
          <a:avLst/>
        </a:prstGeom>
      </xdr:spPr>
    </xdr:pic>
    <xdr:clientData/>
  </xdr:twoCellAnchor>
  <xdr:twoCellAnchor editAs="oneCell">
    <xdr:from>
      <xdr:col>26</xdr:col>
      <xdr:colOff>364432</xdr:colOff>
      <xdr:row>1</xdr:row>
      <xdr:rowOff>0</xdr:rowOff>
    </xdr:from>
    <xdr:to>
      <xdr:col>36</xdr:col>
      <xdr:colOff>488264</xdr:colOff>
      <xdr:row>57</xdr:row>
      <xdr:rowOff>8835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5215" y="198783"/>
          <a:ext cx="6087310" cy="112731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19</xdr:col>
      <xdr:colOff>198966</xdr:colOff>
      <xdr:row>55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D314C5-ABFB-894D-55C2-5C311E763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5880" y="0"/>
          <a:ext cx="7422726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ve/Desktop/Mars%202025/Fichier%20comptable-Juriste%20Roderl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ve/Desktop/Mars%202025/Fichier%20comptable-Juriste%20Abraha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ve/Desktop/Mars%202025/Fichier%20comptable-PARFA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a Juriste "/>
      <sheetName val="Feuil2"/>
      <sheetName val="Feuil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a Juriste "/>
      <sheetName val="Feuil3"/>
      <sheetName val="Feuil2"/>
      <sheetName val="Feuil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ta Parfaite "/>
      <sheetName val="Feuil1"/>
      <sheetName val="Feuil2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na Hajduchová" id="{98584D5A-8469-40CB-92DE-DDEA7199F951}" userId="05fcd02066e7ea79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veille Raison" refreshedDate="45754.995815509261" createdVersion="6" refreshedVersion="6" minRefreshableVersion="3" recordCount="144" xr:uid="{00000000-000A-0000-FFFF-FFFF00000000}">
  <cacheSource type="worksheet">
    <worksheetSource ref="A1:J145" sheet="Cash journal"/>
  </cacheSource>
  <cacheFields count="10">
    <cacheField name="Date" numFmtId="14">
      <sharedItems containsSemiMixedTypes="0" containsNonDate="0" containsDate="1" containsString="0" minDate="2025-03-01T00:00:00" maxDate="2025-04-01T00:00:00"/>
    </cacheField>
    <cacheField name="Details" numFmtId="0">
      <sharedItems/>
    </cacheField>
    <cacheField name="Type de Depenses" numFmtId="0">
      <sharedItems containsBlank="1"/>
    </cacheField>
    <cacheField name="Department " numFmtId="0">
      <sharedItems containsBlank="1"/>
    </cacheField>
    <cacheField name="Spent " numFmtId="0">
      <sharedItems containsString="0" containsBlank="1" containsNumber="1" containsInteger="1" minValue="1740" maxValue="360000"/>
    </cacheField>
    <cacheField name="Received" numFmtId="168">
      <sharedItems containsString="0" containsBlank="1" containsNumber="1" containsInteger="1" minValue="30000" maxValue="2000000"/>
    </cacheField>
    <cacheField name="Balance" numFmtId="168">
      <sharedItems containsSemiMixedTypes="0" containsString="0" containsNumber="1" containsInteger="1" minValue="-115677" maxValue="2149045"/>
    </cacheField>
    <cacheField name="Name" numFmtId="0">
      <sharedItems containsBlank="1" count="15">
        <m/>
        <s v="Merveille"/>
        <s v="Parfaite"/>
        <s v="Abraham"/>
        <s v="P29"/>
        <s v="T73"/>
        <s v="BCI"/>
        <s v="Evariste"/>
        <s v="DOVI"/>
        <s v="Roderlin"/>
        <s v="Crepin"/>
        <s v="Romain"/>
        <s v="G12"/>
        <s v="IT87"/>
        <s v="Donal Roméo"/>
      </sharedItems>
    </cacheField>
    <cacheField name="Receipt" numFmtId="0">
      <sharedItems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veille Raison" refreshedDate="45754.995945949071" createdVersion="6" refreshedVersion="6" minRefreshableVersion="3" recordCount="226" xr:uid="{00000000-000A-0000-FFFF-FFFF01000000}">
  <cacheSource type="worksheet">
    <worksheetSource ref="A1:O227" sheet="DATA MARS 2025"/>
  </cacheSource>
  <cacheFields count="15">
    <cacheField name="Date" numFmtId="173">
      <sharedItems containsSemiMixedTypes="0" containsNonDate="0" containsDate="1" containsString="0" minDate="2025-03-01T00:00:00" maxDate="2025-04-01T00:00:00"/>
    </cacheField>
    <cacheField name="Details" numFmtId="0">
      <sharedItems/>
    </cacheField>
    <cacheField name="Type of expenses" numFmtId="0">
      <sharedItems count="23">
        <s v="Travel subsistence"/>
        <s v="Transport"/>
        <s v="Telephone"/>
        <s v="Equipement"/>
        <s v="Bonus"/>
        <s v="Personnel"/>
        <s v="Office Materiels"/>
        <s v="Rent &amp; Utilities"/>
        <s v="Services"/>
        <s v="Bank fees"/>
        <s v="Lawyer Fees"/>
        <s v="Trust building"/>
        <s v="Travel Subistence"/>
        <s v="Transfert fees"/>
        <s v="Bonus to media office"/>
        <s v="Grant"/>
        <s v="Transport "/>
        <s v="Investigation materiel"/>
        <s v="Investigation materielle"/>
        <s v="Jail visits"/>
        <s v="Office materials"/>
        <s v="Jail visit"/>
        <s v="Internet"/>
      </sharedItems>
    </cacheField>
    <cacheField name="Department " numFmtId="0">
      <sharedItems containsBlank="1" count="11">
        <s v="Légal"/>
        <s v="Legal"/>
        <s v="Management"/>
        <s v="Investigation"/>
        <s v="Media"/>
        <s v="Operation"/>
        <s v="Office"/>
        <s v="Team Building"/>
        <m/>
        <s v="Team builiding"/>
        <s v="Opération"/>
      </sharedItems>
    </cacheField>
    <cacheField name="Spent  in XAF" numFmtId="0">
      <sharedItems containsString="0" containsBlank="1" containsNumber="1" containsInteger="1" minValue="1740" maxValue="2107400"/>
    </cacheField>
    <cacheField name="Spent in $" numFmtId="1">
      <sharedItems containsSemiMixedTypes="0" containsString="0" containsNumber="1" minValue="0" maxValue="3635.6672865852611"/>
    </cacheField>
    <cacheField name="Exchange Rate $" numFmtId="0">
      <sharedItems containsSemiMixedTypes="0" containsString="0" containsNumber="1" minValue="579.25099999999998" maxValue="579.64599999999996"/>
    </cacheField>
    <cacheField name="Name" numFmtId="0">
      <sharedItems count="14">
        <s v="Crépin"/>
        <s v="Abraham"/>
        <s v="Merveille"/>
        <s v="Parfaite"/>
        <s v="BCI"/>
        <s v="DOVI"/>
        <s v="T73"/>
        <s v="Romain"/>
        <s v="Roderlin"/>
        <s v="Evariste"/>
        <s v="G12"/>
        <s v="P29"/>
        <s v="IT87"/>
        <s v="Donald-Romeo"/>
      </sharedItems>
    </cacheField>
    <cacheField name="Receipt" numFmtId="0">
      <sharedItems/>
    </cacheField>
    <cacheField name="Project" numFmtId="0">
      <sharedItems/>
    </cacheField>
    <cacheField name="Donor" numFmtId="0">
      <sharedItems/>
    </cacheField>
    <cacheField name="Country" numFmtId="0">
      <sharedItems/>
    </cacheField>
    <cacheField name="Received in XAF" numFmtId="0">
      <sharedItems containsString="0" containsBlank="1" containsNumber="1" containsInteger="1" minValue="2898230" maxValue="17389380"/>
    </cacheField>
    <cacheField name="Received in $" numFmtId="0">
      <sharedItems containsString="0" containsBlank="1" containsNumber="1" containsInteger="1" minValue="5000" maxValue="30000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veille Raison" refreshedDate="45761.493187037035" createdVersion="6" refreshedVersion="6" minRefreshableVersion="3" recordCount="586" xr:uid="{00000000-000A-0000-FFFF-FFFF02000000}">
  <cacheSource type="worksheet">
    <worksheetSource ref="A1:O587" sheet="Global data MARS 2025"/>
  </cacheSource>
  <cacheFields count="16">
    <cacheField name="Date" numFmtId="173">
      <sharedItems containsSemiMixedTypes="0" containsNonDate="0" containsDate="1" containsString="0" minDate="2025-01-02T00:00:00" maxDate="2025-04-01T00:00:00" count="79">
        <d v="2025-01-02T00:00:00"/>
        <d v="2025-01-03T00:00:00"/>
        <d v="2025-01-06T00:00:00"/>
        <d v="2025-01-07T00:00:00"/>
        <d v="2025-01-08T00:00:00"/>
        <d v="2025-01-09T00:00:00"/>
        <d v="2025-01-10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3T00:00:00"/>
        <d v="2025-03-04T00:00:00"/>
        <d v="2025-03-05T00:00:00"/>
        <d v="2025-03-06T00:00:00"/>
        <d v="2025-03-07T00:00:00"/>
        <d v="2025-03-08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1T00:00:00"/>
      </sharedItems>
      <fieldGroup par="15" base="0">
        <rangePr groupBy="days" startDate="2025-01-02T00:00:00" endDate="2025-04-01T00:00:00"/>
        <groupItems count="368">
          <s v="&lt;02/01/2025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4/2025"/>
        </groupItems>
      </fieldGroup>
    </cacheField>
    <cacheField name="Details" numFmtId="0">
      <sharedItems/>
    </cacheField>
    <cacheField name="Type of expenses" numFmtId="0">
      <sharedItems/>
    </cacheField>
    <cacheField name="Department " numFmtId="0">
      <sharedItems containsBlank="1"/>
    </cacheField>
    <cacheField name="Spent  in XAF" numFmtId="0">
      <sharedItems containsString="0" containsBlank="1" containsNumber="1" minValue="560" maxValue="2107400"/>
    </cacheField>
    <cacheField name="Spent in $" numFmtId="1">
      <sharedItems containsString="0" containsBlank="1" containsNumber="1" minValue="0" maxValue="3635.6672865852611"/>
    </cacheField>
    <cacheField name="Exchange Rate $" numFmtId="0">
      <sharedItems containsSemiMixedTypes="0" containsString="0" containsNumber="1" minValue="570.21500000000003" maxValue="613.82180000000005"/>
    </cacheField>
    <cacheField name="Name" numFmtId="0">
      <sharedItems/>
    </cacheField>
    <cacheField name="Receipt" numFmtId="0">
      <sharedItems/>
    </cacheField>
    <cacheField name="Project" numFmtId="0">
      <sharedItems/>
    </cacheField>
    <cacheField name="Donor" numFmtId="0">
      <sharedItems count="6">
        <s v="Wildcat"/>
        <s v="Rufford"/>
        <s v="OAK"/>
        <s v="OAT"/>
        <s v="UE"/>
        <s v="CHÊNE " u="1"/>
      </sharedItems>
    </cacheField>
    <cacheField name="Country" numFmtId="0">
      <sharedItems/>
    </cacheField>
    <cacheField name="Receved in XAF" numFmtId="0">
      <sharedItems containsString="0" containsBlank="1" containsNumber="1" containsInteger="1" minValue="2898230" maxValue="17885797"/>
    </cacheField>
    <cacheField name="Receved  $" numFmtId="0">
      <sharedItems containsString="0" containsBlank="1" containsNumber="1" containsInteger="1" minValue="5000" maxValue="30000"/>
    </cacheField>
    <cacheField name="Comments" numFmtId="0">
      <sharedItems containsNonDate="0" containsString="0" containsBlank="1"/>
    </cacheField>
    <cacheField name="Mois" numFmtId="0" databaseField="0">
      <fieldGroup base="0">
        <rangePr groupBy="months" startDate="2025-01-02T00:00:00" endDate="2025-04-01T00:00:00"/>
        <groupItems count="14">
          <s v="&lt;02/01/2025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4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d v="2025-03-01T00:00:00"/>
    <s v="Report au 01/03/2025"/>
    <m/>
    <m/>
    <m/>
    <m/>
    <n v="862177"/>
    <x v="0"/>
    <m/>
    <m/>
  </r>
  <r>
    <d v="2025-03-03T00:00:00"/>
    <s v="Achat credit  teléphonique MTN/PALF/Première partie du mois de Mars2025/Management"/>
    <s v="Telephone"/>
    <s v="Management"/>
    <n v="47000"/>
    <m/>
    <n v="815177"/>
    <x v="1"/>
    <s v="CA-M-R1"/>
    <m/>
  </r>
  <r>
    <d v="2025-03-03T00:00:00"/>
    <s v="Achat credit  teléphonique MTN/PALF/Première partie du mois de Mars 2025/Legal"/>
    <s v="Telephone"/>
    <s v="Legal"/>
    <n v="74000"/>
    <m/>
    <n v="741177"/>
    <x v="1"/>
    <s v="CA-M-R2"/>
    <m/>
  </r>
  <r>
    <d v="2025-03-03T00:00:00"/>
    <s v="Achat credit  teléphonique MTN/PALF/Première partie du mois de Mars 2025/Investigation"/>
    <s v="Telephone"/>
    <s v="Investigation"/>
    <n v="88000"/>
    <m/>
    <n v="653177"/>
    <x v="1"/>
    <s v="CA-M-R3"/>
    <m/>
  </r>
  <r>
    <d v="2025-03-03T00:00:00"/>
    <s v="Achat credit  teléphonique MTN/PALF/Première partie du mois de Mars 2025/Media"/>
    <s v="Telephone"/>
    <s v="Media"/>
    <n v="10000"/>
    <m/>
    <n v="643177"/>
    <x v="1"/>
    <s v="CA-M-R4"/>
    <m/>
  </r>
  <r>
    <d v="2025-03-03T00:00:00"/>
    <s v="Achat credit  teléphonique Airtel/PALF/Première partie du mois de Mars 2025/Legal"/>
    <s v="Telephone"/>
    <s v="Legal"/>
    <n v="10000"/>
    <m/>
    <n v="633177"/>
    <x v="1"/>
    <s v="CA-M-R5"/>
    <m/>
  </r>
  <r>
    <d v="2025-03-03T00:00:00"/>
    <s v="Achat credit  teléphonique Airtel/PALF/Première partie du mois de Mars 2025/Investigation"/>
    <s v="Telephone"/>
    <s v="Investigation"/>
    <n v="16000"/>
    <m/>
    <n v="617177"/>
    <x v="1"/>
    <s v="CA-M-R6"/>
    <m/>
  </r>
  <r>
    <d v="2025-03-03T00:00:00"/>
    <s v="Achat credit  teléphonique Airtel/PALF/Première partie du mois de Mars 2025/Media"/>
    <s v="Telephone"/>
    <s v="Media"/>
    <n v="11000"/>
    <m/>
    <n v="606177"/>
    <x v="1"/>
    <s v="CA-M-R7"/>
    <m/>
  </r>
  <r>
    <d v="2025-03-03T00:00:00"/>
    <s v="Merveille"/>
    <s v="Versement"/>
    <m/>
    <n v="10000"/>
    <m/>
    <n v="596177"/>
    <x v="1"/>
    <s v="CA-M-V1"/>
    <m/>
  </r>
  <r>
    <d v="2025-03-03T00:00:00"/>
    <s v="Achat 01 telephone Tecno POP 7/ 64GB et 4ROM pour Abraham"/>
    <s v="Equipement"/>
    <s v="Legal"/>
    <n v="65000"/>
    <m/>
    <n v="531177"/>
    <x v="1"/>
    <s v="CA-M-R8"/>
    <m/>
  </r>
  <r>
    <d v="2025-03-03T00:00:00"/>
    <s v="Achat 20 ampoules pour le bureau"/>
    <s v="Office Materiels"/>
    <s v="Office"/>
    <n v="25000"/>
    <m/>
    <n v="506177"/>
    <x v="2"/>
    <s v="CA-M-R9"/>
    <m/>
  </r>
  <r>
    <d v="2025-03-03T00:00:00"/>
    <s v="Achat carburant 100 Litres de gazoil groupe electrogène Bureau"/>
    <s v="Office Materiels"/>
    <s v="Office"/>
    <n v="62500"/>
    <m/>
    <n v="443677"/>
    <x v="3"/>
    <s v="CA-M-R10"/>
    <m/>
  </r>
  <r>
    <d v="2025-03-03T00:00:00"/>
    <s v="Retour caisse/P29"/>
    <s v="Versement"/>
    <m/>
    <m/>
    <n v="35000"/>
    <n v="478677"/>
    <x v="4"/>
    <s v="CA-M-V2"/>
    <m/>
  </r>
  <r>
    <d v="2025-03-03T00:00:00"/>
    <s v="Bonus operation du 24/02/2025 à Owando/Evariste"/>
    <s v="Bonus"/>
    <s v="Operation"/>
    <n v="45000"/>
    <m/>
    <n v="433677"/>
    <x v="1"/>
    <s v="CA-M-D1"/>
    <m/>
  </r>
  <r>
    <d v="2025-03-03T00:00:00"/>
    <s v="Bonus du mois de Février 2025/Evariste"/>
    <s v="Personnel"/>
    <s v="Media"/>
    <n v="30000"/>
    <m/>
    <n v="403677"/>
    <x v="1"/>
    <s v="CA-M-D2"/>
    <m/>
  </r>
  <r>
    <d v="2025-03-03T00:00:00"/>
    <s v="Bonus du mois de Février 2025/Merveille"/>
    <s v="Personnel"/>
    <s v="Office"/>
    <n v="94430"/>
    <m/>
    <n v="309247"/>
    <x v="1"/>
    <s v="CA-M-D3"/>
    <m/>
  </r>
  <r>
    <d v="2025-03-03T00:00:00"/>
    <s v="Bonus operation du 24/02/2025 à Owando/Merveille"/>
    <s v="Bonus"/>
    <s v="Operation"/>
    <n v="20000"/>
    <m/>
    <n v="289247"/>
    <x v="1"/>
    <s v="CA-M-D4"/>
    <m/>
  </r>
  <r>
    <d v="2025-03-03T00:00:00"/>
    <s v="Bonus du mois de Février 2025/Parfaite"/>
    <s v="Personnel"/>
    <s v="Office"/>
    <n v="15000"/>
    <m/>
    <n v="274247"/>
    <x v="2"/>
    <s v="CA-M-D5"/>
    <m/>
  </r>
  <r>
    <d v="2025-03-03T00:00:00"/>
    <s v="T73"/>
    <s v="Versement"/>
    <m/>
    <n v="65000"/>
    <m/>
    <n v="209247"/>
    <x v="5"/>
    <s v="CA-M-V3"/>
    <m/>
  </r>
  <r>
    <d v="2025-03-03T00:00:00"/>
    <s v="Bonus operation du 24/02/2025 à Owando/Abraham"/>
    <s v="Bonus"/>
    <s v="Operation"/>
    <n v="45000"/>
    <m/>
    <n v="164247"/>
    <x v="1"/>
    <s v="CA-M-D6"/>
    <m/>
  </r>
  <r>
    <d v="2025-03-03T00:00:00"/>
    <s v="Bonus du mois de Frévrier 2025/Abraham"/>
    <s v="Personnel"/>
    <s v="Legal"/>
    <n v="30000"/>
    <m/>
    <n v="134247"/>
    <x v="1"/>
    <s v="CA-M-D7"/>
    <m/>
  </r>
  <r>
    <d v="2025-03-03T00:00:00"/>
    <s v="Bonus du mois de Février 2025/Roderlin"/>
    <s v="Personnel"/>
    <s v="Legal"/>
    <n v="30000"/>
    <m/>
    <n v="104247"/>
    <x v="1"/>
    <s v="CA-M-D8"/>
    <m/>
  </r>
  <r>
    <d v="2025-03-04T00:00:00"/>
    <s v="BCI365820"/>
    <s v="Versement"/>
    <m/>
    <m/>
    <n v="1500000"/>
    <n v="1604247"/>
    <x v="6"/>
    <s v="CA-M-V4"/>
    <m/>
  </r>
  <r>
    <d v="2025-03-04T00:00:00"/>
    <s v="Bonus media portant sur l'interpellation de 2 Présumés trafiquants le 24/02/205 à Owando"/>
    <s v="Bonus to media office"/>
    <s v="Media"/>
    <n v="148000"/>
    <m/>
    <n v="1456247"/>
    <x v="7"/>
    <s v="CA-M-D9"/>
    <m/>
  </r>
  <r>
    <d v="2025-03-04T00:00:00"/>
    <s v="Paiement salaire des jours travaillés en février 2025/Parfaite"/>
    <s v="Personnel"/>
    <s v="Office"/>
    <n v="131428"/>
    <m/>
    <n v="1324819"/>
    <x v="1"/>
    <s v="CA-M-R11"/>
    <m/>
  </r>
  <r>
    <d v="2025-03-04T00:00:00"/>
    <s v="DOVI"/>
    <s v="Versement"/>
    <m/>
    <n v="300000"/>
    <m/>
    <n v="1024819"/>
    <x v="8"/>
    <s v="CA-M-V5"/>
    <m/>
  </r>
  <r>
    <d v="2025-03-04T00:00:00"/>
    <s v="Fonds à un informateur en RDC"/>
    <s v="Trust building"/>
    <s v="Investigation"/>
    <n v="30000"/>
    <m/>
    <n v="994819"/>
    <x v="8"/>
    <s v="CA-M-R12"/>
    <m/>
  </r>
  <r>
    <d v="2025-03-04T00:00:00"/>
    <s v="Frais de transfert d'argent en RDC"/>
    <s v="Transfert fees"/>
    <s v="Office"/>
    <n v="1952"/>
    <m/>
    <n v="992867"/>
    <x v="9"/>
    <s v="CA-M-R13"/>
    <m/>
  </r>
  <r>
    <d v="2025-03-04T00:00:00"/>
    <s v="Frais de transfert d'argent à Romain et Crepin"/>
    <s v="Transfert fees"/>
    <s v="Office"/>
    <n v="8700"/>
    <m/>
    <n v="984167"/>
    <x v="2"/>
    <s v="CA-M-R14"/>
    <m/>
  </r>
  <r>
    <d v="2025-03-04T00:00:00"/>
    <s v="Crepin"/>
    <s v="Versement"/>
    <m/>
    <n v="100000"/>
    <m/>
    <n v="884167"/>
    <x v="10"/>
    <s v="CA-M-V6"/>
    <m/>
  </r>
  <r>
    <d v="2025-03-04T00:00:00"/>
    <s v="Romain"/>
    <s v="Versement"/>
    <m/>
    <n v="100000"/>
    <m/>
    <n v="784167"/>
    <x v="11"/>
    <s v="CA-M-V7"/>
    <m/>
  </r>
  <r>
    <d v="2025-03-04T00:00:00"/>
    <s v="Complement frais de mission maitre Banzouzi du 04 au 08/03/3035 à Owando"/>
    <s v="Travel Subistence"/>
    <s v="Legal"/>
    <n v="100000"/>
    <m/>
    <n v="684167"/>
    <x v="2"/>
    <s v="CA-M-R15"/>
    <m/>
  </r>
  <r>
    <d v="2025-03-04T00:00:00"/>
    <s v="Frais de transport mission maitre Marie Helène à Owando du 05 au 07/03/2025 suivi audience cas EBI"/>
    <s v="Transport"/>
    <s v="Legal"/>
    <n v="20000"/>
    <m/>
    <n v="664167"/>
    <x v="1"/>
    <s v="CA-M-R16"/>
    <m/>
  </r>
  <r>
    <d v="2025-03-04T00:00:00"/>
    <s v="Ration et frais d'hotel mission maitre Marie Helène à Owando du 05 au 07/03/2025 suivi audience cas EBI"/>
    <s v="Travel Subistence"/>
    <s v="Legal"/>
    <n v="50000"/>
    <m/>
    <n v="614167"/>
    <x v="1"/>
    <s v="CA-M-R17"/>
    <m/>
  </r>
  <r>
    <d v="2025-03-04T00:00:00"/>
    <s v="Bonus du mois de Février 2025/Crepin"/>
    <s v="Personnel"/>
    <s v="Legal"/>
    <n v="30000"/>
    <m/>
    <n v="584167"/>
    <x v="1"/>
    <s v="CA-M-D10"/>
    <m/>
  </r>
  <r>
    <d v="2025-03-04T00:00:00"/>
    <s v="Bonus operation du 24/02/2025 à Owando/Crepin"/>
    <s v="Bonus"/>
    <s v="Operation"/>
    <n v="50000"/>
    <m/>
    <n v="534167"/>
    <x v="1"/>
    <s v="CA-M-D11"/>
    <m/>
  </r>
  <r>
    <d v="2025-03-05T00:00:00"/>
    <s v="P29"/>
    <s v="Versement"/>
    <m/>
    <n v="20000"/>
    <m/>
    <n v="514167"/>
    <x v="4"/>
    <s v="CA-M-V8"/>
    <m/>
  </r>
  <r>
    <d v="2025-03-05T00:00:00"/>
    <s v="Evariste"/>
    <s v="Versement"/>
    <m/>
    <n v="20000"/>
    <m/>
    <n v="494167"/>
    <x v="7"/>
    <s v="CA-M-V9"/>
    <m/>
  </r>
  <r>
    <d v="2025-03-05T00:00:00"/>
    <s v="Abraham"/>
    <s v="Versement"/>
    <m/>
    <n v="30000"/>
    <m/>
    <n v="464167"/>
    <x v="3"/>
    <s v="CA-M-V10"/>
    <m/>
  </r>
  <r>
    <d v="2025-03-06T00:00:00"/>
    <s v="Bonus à un informateur en RDC"/>
    <s v="Trust building"/>
    <s v="Investigation"/>
    <n v="30000"/>
    <m/>
    <n v="434167"/>
    <x v="8"/>
    <s v="CA-M-R18"/>
    <m/>
  </r>
  <r>
    <d v="2025-03-06T00:00:00"/>
    <s v="Frais de transfert Bonus à un informateur en RDC"/>
    <s v="Transfert fees"/>
    <s v="Office"/>
    <n v="1952"/>
    <m/>
    <n v="432215"/>
    <x v="9"/>
    <s v="CA-M-R19"/>
    <m/>
  </r>
  <r>
    <d v="2025-03-06T00:00:00"/>
    <s v="G12"/>
    <s v="Versement"/>
    <m/>
    <n v="100000"/>
    <m/>
    <n v="332215"/>
    <x v="12"/>
    <s v="CA-M-V11"/>
    <m/>
  </r>
  <r>
    <d v="2025-03-06T00:00:00"/>
    <s v="IT87"/>
    <s v="Versement"/>
    <m/>
    <n v="20000"/>
    <m/>
    <n v="312215"/>
    <x v="13"/>
    <s v="CA-M-V12"/>
    <m/>
  </r>
  <r>
    <d v="2025-03-07T00:00:00"/>
    <s v="Reparation de courcircuit electrique du bureau"/>
    <s v="Services"/>
    <s v="Office"/>
    <n v="20000"/>
    <m/>
    <n v="292215"/>
    <x v="8"/>
    <s v="CA-M-R20"/>
    <m/>
  </r>
  <r>
    <d v="2025-03-10T00:00:00"/>
    <s v="G12"/>
    <s v="Versement"/>
    <m/>
    <n v="139000"/>
    <m/>
    <n v="153215"/>
    <x v="12"/>
    <s v="CA-M-V13"/>
    <m/>
  </r>
  <r>
    <d v="2025-03-10T00:00:00"/>
    <s v="Frais de transfert d'argent à G12"/>
    <s v="Transfert fees"/>
    <s v="Office"/>
    <n v="4170"/>
    <m/>
    <n v="149045"/>
    <x v="9"/>
    <s v="CA-M-R21"/>
    <m/>
  </r>
  <r>
    <d v="2025-03-10T00:00:00"/>
    <s v="BCI3654818"/>
    <s v="Versement"/>
    <m/>
    <m/>
    <n v="2000000"/>
    <n v="2149045"/>
    <x v="6"/>
    <s v="CA-M-V14"/>
    <m/>
  </r>
  <r>
    <d v="2025-03-10T00:00:00"/>
    <s v="P29"/>
    <s v="Versement"/>
    <m/>
    <n v="243000"/>
    <m/>
    <n v="1906045"/>
    <x v="4"/>
    <s v="CA-M-V15"/>
    <m/>
  </r>
  <r>
    <d v="2025-03-10T00:00:00"/>
    <s v="T73"/>
    <s v="Versement"/>
    <m/>
    <n v="230000"/>
    <m/>
    <n v="1676045"/>
    <x v="5"/>
    <s v="CA-M-V16"/>
    <m/>
  </r>
  <r>
    <d v="2025-03-10T00:00:00"/>
    <s v="IT87"/>
    <s v="Versement"/>
    <m/>
    <n v="249000"/>
    <m/>
    <n v="1427045"/>
    <x v="13"/>
    <s v="CA-M-V17"/>
    <m/>
  </r>
  <r>
    <d v="2025-03-10T00:00:00"/>
    <s v="Bonus du mois de Février 2025/Romain"/>
    <s v="Personnel"/>
    <s v="Legal"/>
    <n v="30000"/>
    <m/>
    <n v="1397045"/>
    <x v="1"/>
    <s v="CA-M-D12"/>
    <m/>
  </r>
  <r>
    <d v="2025-03-10T00:00:00"/>
    <s v="Bonus operation du 24/02/2025 à Owando/Romain"/>
    <s v="Bonus"/>
    <s v="Operation"/>
    <n v="45000"/>
    <m/>
    <n v="1352045"/>
    <x v="1"/>
    <s v="CA-M-D13"/>
    <m/>
  </r>
  <r>
    <d v="2025-03-10T00:00:00"/>
    <s v="DOVI/Retour caisse"/>
    <s v="Versement"/>
    <m/>
    <m/>
    <n v="130000"/>
    <n v="1482045"/>
    <x v="8"/>
    <s v="CA-M-V18"/>
    <m/>
  </r>
  <r>
    <d v="2025-03-10T00:00:00"/>
    <s v="T73"/>
    <s v="Versement"/>
    <m/>
    <m/>
    <n v="30000"/>
    <n v="1512045"/>
    <x v="5"/>
    <s v="CA-M-V19"/>
    <m/>
  </r>
  <r>
    <d v="2025-03-11T00:00:00"/>
    <s v="Règlement facture électricité piode Janvier-Février2025/bureau PALF"/>
    <s v="Rent &amp; Utilities"/>
    <s v="Office"/>
    <n v="72102"/>
    <m/>
    <n v="1439943"/>
    <x v="9"/>
    <s v="CA-M-R22"/>
    <m/>
  </r>
  <r>
    <d v="2025-03-11T00:00:00"/>
    <s v="Achat de 14 pagnes africain pour la JIF(08Mars)/Bureau PALF"/>
    <s v="Personnel"/>
    <s v="Team builiding"/>
    <n v="112000"/>
    <m/>
    <n v="1327943"/>
    <x v="2"/>
    <s v="CA-M-R23"/>
    <m/>
  </r>
  <r>
    <d v="2025-03-12T00:00:00"/>
    <s v="Achat eau mineral 16 LITRES/Bureau"/>
    <s v="Office Materiels"/>
    <s v="Office"/>
    <n v="25000"/>
    <m/>
    <n v="1302943"/>
    <x v="9"/>
    <s v="CA-M-R24"/>
    <m/>
  </r>
  <r>
    <d v="2025-03-12T00:00:00"/>
    <s v="Achat produit d'entretien lait,sucre,javel,papier toilette,sucre,café/Bureau PALF"/>
    <s v="Office Materiels"/>
    <s v="Office"/>
    <n v="56550"/>
    <m/>
    <n v="1246393"/>
    <x v="2"/>
    <s v="CA-M-R25"/>
    <m/>
  </r>
  <r>
    <d v="2025-03-12T00:00:00"/>
    <s v="Achat credit téléphonique MTN pour Donald Roméo periode du 12 au 31/03/2025"/>
    <s v="Telephone"/>
    <s v="Legal"/>
    <n v="15000"/>
    <m/>
    <n v="1231393"/>
    <x v="2"/>
    <s v="CA-M-R26"/>
    <m/>
  </r>
  <r>
    <d v="2025-03-13T00:00:00"/>
    <s v="Roderlin"/>
    <s v="Versement"/>
    <m/>
    <n v="20000"/>
    <m/>
    <n v="1211393"/>
    <x v="9"/>
    <s v="CA-M-V20"/>
    <m/>
  </r>
  <r>
    <d v="2025-03-13T00:00:00"/>
    <s v="Parfaite"/>
    <s v="Versement"/>
    <m/>
    <n v="20000"/>
    <m/>
    <n v="1191393"/>
    <x v="2"/>
    <s v="CA-M-V21"/>
    <m/>
  </r>
  <r>
    <d v="2025-03-13T00:00:00"/>
    <s v="Frais de transfert d'argent à G12"/>
    <s v="Transfert fees"/>
    <s v="Office"/>
    <n v="1740"/>
    <m/>
    <n v="1189653"/>
    <x v="9"/>
    <s v="CA-M-R27"/>
    <m/>
  </r>
  <r>
    <d v="2025-03-13T00:00:00"/>
    <s v="G12"/>
    <s v="Versement"/>
    <m/>
    <n v="87000"/>
    <m/>
    <n v="1102653"/>
    <x v="12"/>
    <s v="CA-M-V22"/>
    <m/>
  </r>
  <r>
    <d v="2025-03-14T00:00:00"/>
    <s v="Romain"/>
    <s v="Versement"/>
    <m/>
    <n v="20000"/>
    <m/>
    <n v="1082653"/>
    <x v="11"/>
    <s v="CA-M-V23"/>
    <m/>
  </r>
  <r>
    <d v="2025-03-16T00:00:00"/>
    <s v="Crepin"/>
    <s v="Versement"/>
    <m/>
    <n v="70000"/>
    <m/>
    <n v="1012653"/>
    <x v="10"/>
    <s v="CA-M-V24"/>
    <m/>
  </r>
  <r>
    <d v="2025-03-16T00:00:00"/>
    <s v="Romain"/>
    <s v="Versement"/>
    <m/>
    <n v="75000"/>
    <m/>
    <n v="937653"/>
    <x v="11"/>
    <s v="CA-M-V25"/>
    <m/>
  </r>
  <r>
    <d v="2025-03-16T00:00:00"/>
    <s v="Evariste"/>
    <s v="Versement"/>
    <m/>
    <n v="69000"/>
    <m/>
    <n v="868653"/>
    <x v="7"/>
    <s v="CA-M-V26"/>
    <m/>
  </r>
  <r>
    <d v="2025-03-16T00:00:00"/>
    <s v="Donald Roméo"/>
    <s v="Versement"/>
    <m/>
    <n v="84000"/>
    <m/>
    <n v="784653"/>
    <x v="14"/>
    <s v="CA-M-V27"/>
    <m/>
  </r>
  <r>
    <d v="2025-03-16T00:00:00"/>
    <s v="Abraham"/>
    <s v="Versement"/>
    <m/>
    <n v="73000"/>
    <m/>
    <n v="711653"/>
    <x v="3"/>
    <s v="CA-M-V28"/>
    <m/>
  </r>
  <r>
    <d v="2025-03-17T00:00:00"/>
    <s v="P29"/>
    <s v="Versement"/>
    <m/>
    <n v="307000"/>
    <m/>
    <n v="404653"/>
    <x v="4"/>
    <s v="CA-M-V29"/>
    <m/>
  </r>
  <r>
    <d v="2025-03-17T00:00:00"/>
    <s v="G12"/>
    <s v="Versement"/>
    <m/>
    <n v="116000"/>
    <m/>
    <n v="288653"/>
    <x v="12"/>
    <s v="CA-M-V30"/>
    <m/>
  </r>
  <r>
    <d v="2025-03-17T00:00:00"/>
    <s v="Frais de transfert d'argent à P29 et G12"/>
    <s v="Transfert fees"/>
    <s v="Office"/>
    <n v="12690"/>
    <m/>
    <n v="275963"/>
    <x v="2"/>
    <s v="CA-M-R28"/>
    <m/>
  </r>
  <r>
    <d v="2025-03-17T00:00:00"/>
    <s v="Achat credit  teléphonique MTN/PALF/Deuxième partie du mois de Mars2025/Management"/>
    <s v="Telephone"/>
    <s v="Management"/>
    <n v="20000"/>
    <m/>
    <n v="255963"/>
    <x v="2"/>
    <s v="CA-M-R29"/>
    <m/>
  </r>
  <r>
    <d v="2025-03-17T00:00:00"/>
    <s v="Achat credit  teléphonique MTN/PALF/Deuxième partie du mois de Mars 2025/Legal"/>
    <s v="Telephone"/>
    <s v="Legal"/>
    <n v="30000"/>
    <m/>
    <n v="225963"/>
    <x v="2"/>
    <s v="CA-M-R30"/>
    <m/>
  </r>
  <r>
    <d v="2025-03-17T00:00:00"/>
    <s v="Achat credit  teléphonique MTN/PALF/Deuxième partie du mois de Mars 2025/Investigation"/>
    <s v="Telephone"/>
    <s v="Investigation"/>
    <n v="55000"/>
    <m/>
    <n v="170963"/>
    <x v="2"/>
    <s v="CA-M-R31"/>
    <m/>
  </r>
  <r>
    <d v="2025-03-17T00:00:00"/>
    <s v="Achat credit  teléphonique MTN/PALF/deuxième partie du mois de Mars 2025/Media"/>
    <s v="Telephone"/>
    <s v="Media"/>
    <n v="10000"/>
    <m/>
    <n v="160963"/>
    <x v="2"/>
    <s v="CA-M-R32"/>
    <m/>
  </r>
  <r>
    <d v="2025-03-17T00:00:00"/>
    <s v="Achat credit  teléphonique Airtel/PALF/Deuxième partie du mois de Mars 2025/Legal"/>
    <s v="Telephone"/>
    <s v="Legal"/>
    <n v="10000"/>
    <m/>
    <n v="150963"/>
    <x v="2"/>
    <s v="CA-M-R33"/>
    <m/>
  </r>
  <r>
    <d v="2025-03-17T00:00:00"/>
    <s v="Achat credit  teléphonique Airtel/PALF/Deuxième partie du mois de Mars 2025/Investigation"/>
    <s v="Telephone"/>
    <s v="Investigation"/>
    <n v="5000"/>
    <m/>
    <n v="145963"/>
    <x v="2"/>
    <s v="CA-M-R34"/>
    <m/>
  </r>
  <r>
    <d v="2025-03-18T00:00:00"/>
    <s v="BCI3654838"/>
    <s v="Versement"/>
    <m/>
    <m/>
    <n v="2000000"/>
    <n v="2145963"/>
    <x v="6"/>
    <s v="CA-M-V31"/>
    <m/>
  </r>
  <r>
    <d v="2025-03-18T00:00:00"/>
    <s v="Frais de transport mission maitre Marie Helène à Owando du 19 au 22/03/2025 suivi audience cas EBI"/>
    <s v="Transport"/>
    <s v="Legal"/>
    <n v="21000"/>
    <m/>
    <n v="2124963"/>
    <x v="9"/>
    <s v="CA-M-R35"/>
    <m/>
  </r>
  <r>
    <d v="2025-03-18T00:00:00"/>
    <s v="Ration et Frais d'hôtel  mission maitre Marie Helène à Owando du 19 au 22/03/2025 suivi audience cas EBI"/>
    <s v="Travel Subistence"/>
    <s v="Legal"/>
    <n v="75000"/>
    <m/>
    <n v="2049963"/>
    <x v="9"/>
    <s v="CA-M-R36"/>
    <m/>
  </r>
  <r>
    <d v="2025-03-18T00:00:00"/>
    <s v="Frais de transport mission à Owando de maitre Alain du 19au 21/03/2025 suivi audience à Owando"/>
    <s v="Transport"/>
    <s v="Legal"/>
    <n v="21000"/>
    <m/>
    <n v="2028963"/>
    <x v="9"/>
    <s v="CA-M-R37"/>
    <m/>
  </r>
  <r>
    <d v="2025-03-18T00:00:00"/>
    <s v="Ration et Frais d'hôtel mission à Owando de maitre Alain du 19 au 21/03/2025 suivi audience à Owando"/>
    <s v="Travel Subistence"/>
    <s v="Legal"/>
    <n v="50000"/>
    <m/>
    <n v="1978963"/>
    <x v="9"/>
    <s v="CA-M-R38"/>
    <m/>
  </r>
  <r>
    <d v="2025-03-18T00:00:00"/>
    <s v="Roderlin"/>
    <s v="Versement"/>
    <m/>
    <n v="138000"/>
    <m/>
    <n v="1840963"/>
    <x v="9"/>
    <s v="CA-M-V32"/>
    <m/>
  </r>
  <r>
    <d v="2025-03-19T00:00:00"/>
    <s v="Crepin"/>
    <s v="Versement"/>
    <m/>
    <n v="360000"/>
    <m/>
    <n v="1480963"/>
    <x v="10"/>
    <s v="CA-M-V33"/>
    <m/>
  </r>
  <r>
    <d v="2025-03-19T00:00:00"/>
    <s v="Donald Roméo"/>
    <s v="Versement"/>
    <m/>
    <n v="84000"/>
    <m/>
    <n v="1396963"/>
    <x v="14"/>
    <s v="CA-M-V34"/>
    <m/>
  </r>
  <r>
    <d v="2025-03-19T00:00:00"/>
    <s v="Romain"/>
    <s v="Versement"/>
    <m/>
    <n v="75000"/>
    <m/>
    <n v="1321963"/>
    <x v="11"/>
    <s v="CA-M-V35"/>
    <m/>
  </r>
  <r>
    <d v="2025-03-19T00:00:00"/>
    <s v="Abraham"/>
    <s v="Versement"/>
    <m/>
    <n v="73000"/>
    <m/>
    <n v="1248963"/>
    <x v="3"/>
    <s v="CA-M-V36"/>
    <m/>
  </r>
  <r>
    <d v="2025-03-19T00:00:00"/>
    <s v="Evariste"/>
    <s v="Versement"/>
    <m/>
    <n v="69000"/>
    <m/>
    <n v="1179963"/>
    <x v="7"/>
    <s v="CA-M-V37"/>
    <m/>
  </r>
  <r>
    <d v="2025-03-19T00:00:00"/>
    <s v="Frais de transfert d'argent à Crepin, Evariste, Abraham, Romain et Donald-Romeo"/>
    <s v="Transfert fees"/>
    <s v="Office"/>
    <n v="19830"/>
    <m/>
    <n v="1160133"/>
    <x v="2"/>
    <s v="CA-M-R39"/>
    <m/>
  </r>
  <r>
    <d v="2025-03-19T00:00:00"/>
    <s v="T73"/>
    <s v="Versement"/>
    <m/>
    <n v="10000"/>
    <m/>
    <n v="1150133"/>
    <x v="5"/>
    <s v="CA-M-V38"/>
    <m/>
  </r>
  <r>
    <d v="2025-03-19T00:00:00"/>
    <s v="Achat 05 Cartouche d'encre  HP Laser noire et couleur 216A"/>
    <s v="Office Materiels"/>
    <s v="Office"/>
    <n v="300000"/>
    <m/>
    <n v="850133"/>
    <x v="2"/>
    <s v="CA-M-R40"/>
    <m/>
  </r>
  <r>
    <d v="2025-03-19T00:00:00"/>
    <s v="IT87"/>
    <s v="Versement"/>
    <m/>
    <n v="100000"/>
    <m/>
    <n v="750133"/>
    <x v="13"/>
    <s v="CA-M-V39"/>
    <m/>
  </r>
  <r>
    <d v="2025-03-19T00:00:00"/>
    <s v="Crepin"/>
    <s v="Versement"/>
    <m/>
    <m/>
    <n v="300000"/>
    <n v="1050133"/>
    <x v="10"/>
    <s v="CA-M-V40"/>
    <m/>
  </r>
  <r>
    <d v="2025-03-19T00:00:00"/>
    <s v="P29"/>
    <s v="Versement"/>
    <m/>
    <n v="300000"/>
    <m/>
    <n v="750133"/>
    <x v="4"/>
    <s v="CA-M-V41"/>
    <m/>
  </r>
  <r>
    <d v="2025-03-20T00:00:00"/>
    <s v="DOVI/Fond transfert à un informateur en RDC"/>
    <s v="Versement"/>
    <m/>
    <n v="33000"/>
    <m/>
    <n v="717133"/>
    <x v="8"/>
    <s v="CA-M-V42"/>
    <m/>
  </r>
  <r>
    <d v="2025-03-20T00:00:00"/>
    <s v="P29"/>
    <s v="Versement"/>
    <m/>
    <n v="172000"/>
    <m/>
    <n v="545133"/>
    <x v="4"/>
    <s v="CA-M-V43"/>
    <m/>
  </r>
  <r>
    <d v="2025-03-20T00:00:00"/>
    <s v="G12"/>
    <s v="Versement"/>
    <m/>
    <n v="58000"/>
    <m/>
    <n v="487133"/>
    <x v="12"/>
    <s v="CA-M-V44"/>
    <m/>
  </r>
  <r>
    <d v="2025-03-20T00:00:00"/>
    <s v="Frais de transfert d'argent à P29 et G12"/>
    <s v="Transfert fees"/>
    <s v="Office"/>
    <n v="6320"/>
    <m/>
    <n v="480813"/>
    <x v="12"/>
    <s v="CA-M-R41"/>
    <m/>
  </r>
  <r>
    <d v="2025-03-20T00:00:00"/>
    <s v="DOVI"/>
    <s v="Versement"/>
    <m/>
    <n v="50000"/>
    <m/>
    <n v="430813"/>
    <x v="8"/>
    <s v="CA-M-V45"/>
    <m/>
  </r>
  <r>
    <d v="2025-03-20T00:00:00"/>
    <s v="IT87"/>
    <s v="Versement"/>
    <m/>
    <n v="20000"/>
    <m/>
    <n v="410813"/>
    <x v="13"/>
    <s v="CA-M-V46"/>
    <m/>
  </r>
  <r>
    <d v="2025-03-20T00:00:00"/>
    <s v="IT87"/>
    <s v="Versement"/>
    <m/>
    <n v="150000"/>
    <m/>
    <n v="260813"/>
    <x v="13"/>
    <s v="CA-M-V47"/>
    <m/>
  </r>
  <r>
    <d v="2025-03-20T00:00:00"/>
    <s v="T73"/>
    <s v="Versement"/>
    <m/>
    <n v="150000"/>
    <m/>
    <n v="110813"/>
    <x v="5"/>
    <s v="CA-M-V48"/>
    <m/>
  </r>
  <r>
    <d v="2025-03-21T00:00:00"/>
    <s v="BCI3654826"/>
    <s v="Versement"/>
    <m/>
    <m/>
    <n v="2000000"/>
    <n v="2110813"/>
    <x v="6"/>
    <s v="CA-M-V49"/>
    <m/>
  </r>
  <r>
    <d v="2025-03-21T00:00:00"/>
    <s v="Crepin"/>
    <s v="Versement"/>
    <m/>
    <n v="80000"/>
    <m/>
    <n v="2030813"/>
    <x v="10"/>
    <s v="CA-M-V50"/>
    <m/>
  </r>
  <r>
    <d v="2025-03-21T00:00:00"/>
    <s v="Abraham"/>
    <s v="Versement"/>
    <m/>
    <n v="100000"/>
    <m/>
    <n v="1930813"/>
    <x v="3"/>
    <s v="CA-M-V51"/>
    <m/>
  </r>
  <r>
    <d v="2025-03-21T00:00:00"/>
    <s v="Evariste"/>
    <s v="Versement"/>
    <m/>
    <n v="100000"/>
    <m/>
    <n v="1830813"/>
    <x v="7"/>
    <s v="CA-M-V52"/>
    <m/>
  </r>
  <r>
    <d v="2025-03-21T00:00:00"/>
    <s v="Romain"/>
    <s v="Versement"/>
    <m/>
    <n v="100000"/>
    <m/>
    <n v="1730813"/>
    <x v="11"/>
    <s v="CA-M-V53"/>
    <m/>
  </r>
  <r>
    <d v="2025-03-21T00:00:00"/>
    <s v="Donald Roméo"/>
    <s v="Versement"/>
    <m/>
    <n v="108000"/>
    <m/>
    <n v="1622813"/>
    <x v="14"/>
    <s v="CA-M-V54"/>
    <m/>
  </r>
  <r>
    <d v="2025-03-21T00:00:00"/>
    <s v="Frais de transfert d'argent à Crepin, Evariste, Abraham, Romain et Donald-Romeo"/>
    <s v="Transfert fees"/>
    <s v="Office"/>
    <n v="14640"/>
    <m/>
    <n v="1608173"/>
    <x v="2"/>
    <s v="CA-M-R42"/>
    <m/>
  </r>
  <r>
    <d v="2025-03-24T00:00:00"/>
    <s v="Achat produit d'entretien  et Main d'œuvre du groupe électrogène/Bureau PALF"/>
    <s v="Office Materiels"/>
    <s v="Office"/>
    <n v="101000"/>
    <m/>
    <n v="1507173"/>
    <x v="9"/>
    <s v="CA-M-R43"/>
    <m/>
  </r>
  <r>
    <d v="2025-03-24T00:00:00"/>
    <s v="Crepin"/>
    <s v="Versement"/>
    <m/>
    <n v="200000"/>
    <m/>
    <n v="1307173"/>
    <x v="10"/>
    <s v="CA-M-V55"/>
    <m/>
  </r>
  <r>
    <d v="2025-03-24T00:00:00"/>
    <s v="IT87"/>
    <s v="Versement"/>
    <m/>
    <n v="89000"/>
    <m/>
    <n v="1218173"/>
    <x v="13"/>
    <s v="CA-M-V56"/>
    <m/>
  </r>
  <r>
    <d v="2025-03-24T00:00:00"/>
    <s v="Frais de transfert d'argent  à crepin et IT87"/>
    <s v="Transfert fees"/>
    <s v="Office"/>
    <n v="7780"/>
    <m/>
    <n v="1210393"/>
    <x v="2"/>
    <s v="CA-M-R44"/>
    <m/>
  </r>
  <r>
    <d v="2025-03-24T00:00:00"/>
    <s v="T73"/>
    <s v="Versement"/>
    <m/>
    <n v="122000"/>
    <m/>
    <n v="1088393"/>
    <x v="5"/>
    <s v="CA-M-V57"/>
    <m/>
  </r>
  <r>
    <d v="2025-03-24T00:00:00"/>
    <s v="Frais de transfert d'argent à  T73 par  momo"/>
    <s v="Transfert fees"/>
    <s v="Office"/>
    <n v="6300"/>
    <m/>
    <n v="1082093"/>
    <x v="2"/>
    <s v="CA-M-R45"/>
    <m/>
  </r>
  <r>
    <d v="2025-03-24T00:00:00"/>
    <s v="Frais de transport mission à Dolisie de maitre BANZOUZI Alain du 25/03/ au 05/04/2025 suivi audience "/>
    <s v="Transport"/>
    <s v="Legal"/>
    <n v="42000"/>
    <m/>
    <n v="1040093"/>
    <x v="2"/>
    <s v="CA-M-R46"/>
    <m/>
  </r>
  <r>
    <d v="2025-03-24T00:00:00"/>
    <s v="Ration et frais d'hotel mission à Dolisie de maitre BANZOUZI Alain du 25/03/ au 05/04/2025 suivi audience "/>
    <s v="Travel Subistence"/>
    <s v="Legal"/>
    <n v="275000"/>
    <m/>
    <n v="765093"/>
    <x v="9"/>
    <s v="CA-M-R47"/>
    <m/>
  </r>
  <r>
    <d v="2025-03-25T00:00:00"/>
    <s v="P29"/>
    <s v="Versement"/>
    <m/>
    <m/>
    <n v="200000"/>
    <n v="965093"/>
    <x v="4"/>
    <s v="CA-M-V58"/>
    <m/>
  </r>
  <r>
    <d v="2025-03-25T00:00:00"/>
    <s v="G12"/>
    <s v="Versement"/>
    <m/>
    <n v="25000"/>
    <m/>
    <n v="940093"/>
    <x v="12"/>
    <s v="CA-M-V59"/>
    <m/>
  </r>
  <r>
    <d v="2025-03-25T00:00:00"/>
    <s v="G12"/>
    <s v="Versement"/>
    <m/>
    <n v="10000"/>
    <m/>
    <n v="930093"/>
    <x v="12"/>
    <s v="CA-M-V60"/>
    <m/>
  </r>
  <r>
    <d v="2025-03-25T00:00:00"/>
    <s v="Crepin"/>
    <s v="Versement"/>
    <m/>
    <n v="112000"/>
    <m/>
    <n v="818093"/>
    <x v="10"/>
    <s v="CA-M-V61"/>
    <m/>
  </r>
  <r>
    <d v="2025-03-25T00:00:00"/>
    <s v="Donald Roméo"/>
    <s v="Versement"/>
    <m/>
    <n v="112000"/>
    <m/>
    <n v="706093"/>
    <x v="14"/>
    <s v="CA-M-V62"/>
    <m/>
  </r>
  <r>
    <d v="2025-03-25T00:00:00"/>
    <s v="Romain"/>
    <s v="Versement"/>
    <m/>
    <n v="110000"/>
    <m/>
    <n v="596093"/>
    <x v="11"/>
    <s v="CA-M-V63"/>
    <m/>
  </r>
  <r>
    <d v="2025-03-25T00:00:00"/>
    <s v="Abraham"/>
    <s v="Versement"/>
    <m/>
    <n v="35000"/>
    <m/>
    <n v="561093"/>
    <x v="3"/>
    <s v="CA-M-V64"/>
    <m/>
  </r>
  <r>
    <d v="2025-03-25T00:00:00"/>
    <s v="Evariste"/>
    <s v="Versement"/>
    <m/>
    <n v="25000"/>
    <m/>
    <n v="536093"/>
    <x v="7"/>
    <s v="CA-M-V65"/>
    <m/>
  </r>
  <r>
    <d v="2025-03-25T00:00:00"/>
    <s v="Frais de transfert d'argent à Crepin, Evariste, Abraham, Romain et Donald-Romeo"/>
    <s v="Transfert fees"/>
    <s v="Office"/>
    <n v="11820"/>
    <m/>
    <n v="524273"/>
    <x v="12"/>
    <s v="CA-M-R48"/>
    <m/>
  </r>
  <r>
    <d v="2025-03-25T00:00:00"/>
    <s v="Achat carburant groupe electrogène Bureau"/>
    <s v="Office Materiels"/>
    <s v="Office"/>
    <n v="25000"/>
    <m/>
    <n v="499273"/>
    <x v="9"/>
    <s v="CA-M-R49"/>
    <m/>
  </r>
  <r>
    <d v="2025-03-26T00:00:00"/>
    <s v="Reglement prestation de nettoyage jardin PALF du mois de Février 2025"/>
    <s v="Services"/>
    <s v="Office"/>
    <n v="20000"/>
    <m/>
    <n v="479273"/>
    <x v="2"/>
    <s v="CA-M-R50"/>
    <m/>
  </r>
  <r>
    <d v="2025-03-26T00:00:00"/>
    <s v="Bonus media portant sur l'interpellation de 2 Présumés trafiquants le 22/03/205 à Dolisie"/>
    <s v="Bonus to media office"/>
    <s v="Media"/>
    <n v="200000"/>
    <m/>
    <n v="279273"/>
    <x v="7"/>
    <s v="CA-M-D14"/>
    <m/>
  </r>
  <r>
    <d v="2025-03-28T00:00:00"/>
    <s v="ramassage Ordure du mois de Mars 2025/Bureau PALF"/>
    <s v="Services"/>
    <s v="Office"/>
    <n v="8000"/>
    <m/>
    <n v="271273"/>
    <x v="2"/>
    <s v="CA-M-R51"/>
    <m/>
  </r>
  <r>
    <d v="2025-03-28T00:00:00"/>
    <s v="Crepin"/>
    <s v="Versement"/>
    <m/>
    <n v="277500"/>
    <m/>
    <n v="-6227"/>
    <x v="10"/>
    <s v="CA-M-V66"/>
    <m/>
  </r>
  <r>
    <d v="2025-03-28T00:00:00"/>
    <s v="Donald Roméo"/>
    <s v="Versement"/>
    <m/>
    <n v="25000"/>
    <m/>
    <n v="-31227"/>
    <x v="14"/>
    <s v="CA-M-V67"/>
    <m/>
  </r>
  <r>
    <d v="2025-03-28T00:00:00"/>
    <s v="Frais de transfert d'argent  à crepin et Donald-Roméo"/>
    <s v="Transfert fees"/>
    <s v="Office"/>
    <n v="8825"/>
    <m/>
    <n v="-40052"/>
    <x v="3"/>
    <s v="CA-M-R52"/>
    <m/>
  </r>
  <r>
    <d v="2025-03-28T00:00:00"/>
    <s v="Reglement prestation de nettoyage Bureau PALF du mois de Mars 2025"/>
    <s v="Services"/>
    <s v="Office"/>
    <n v="75625"/>
    <m/>
    <n v="-115677"/>
    <x v="2"/>
    <s v="CA-M-R53"/>
    <m/>
  </r>
  <r>
    <d v="2025-03-28T00:00:00"/>
    <s v="BCI3654836"/>
    <s v="Versement"/>
    <m/>
    <m/>
    <n v="2000000"/>
    <n v="1884323"/>
    <x v="6"/>
    <s v="CA-M-V68"/>
    <m/>
  </r>
  <r>
    <d v="2025-03-28T00:00:00"/>
    <s v="Bonus media portant sur l'interpellation de 2 Présumés trafiquants le 22/03/205 à Dolisie"/>
    <s v="Bonus to media office"/>
    <s v="Media"/>
    <n v="154000"/>
    <m/>
    <n v="1730323"/>
    <x v="7"/>
    <s v="CA-M-D15"/>
    <m/>
  </r>
  <r>
    <d v="2025-03-28T00:00:00"/>
    <s v="Abraham"/>
    <s v="Versement"/>
    <m/>
    <n v="20000"/>
    <m/>
    <n v="1710323"/>
    <x v="3"/>
    <s v="CA-M-V69"/>
    <m/>
  </r>
  <r>
    <d v="2025-03-31T00:00:00"/>
    <s v="Evariste"/>
    <s v="Versement"/>
    <m/>
    <n v="20000"/>
    <m/>
    <n v="1690323"/>
    <x v="7"/>
    <s v="CA-M-V70"/>
    <m/>
  </r>
  <r>
    <d v="2025-03-31T00:00:00"/>
    <s v="Reglement facture internet periode du 01/04 au 30/04/2025 bureau PALF"/>
    <s v="Internet"/>
    <s v="Office"/>
    <n v="45050"/>
    <m/>
    <n v="1645273"/>
    <x v="2"/>
    <s v="CA-M-R54"/>
    <m/>
  </r>
  <r>
    <d v="2025-03-31T00:00:00"/>
    <s v="G12"/>
    <s v="Versement"/>
    <m/>
    <n v="28000"/>
    <m/>
    <n v="1617273"/>
    <x v="12"/>
    <s v="CA-M-V71"/>
    <m/>
  </r>
  <r>
    <d v="2025-03-31T00:00:00"/>
    <s v="Crepin"/>
    <s v="Versement"/>
    <m/>
    <n v="185000"/>
    <m/>
    <n v="1432273"/>
    <x v="10"/>
    <s v="CA-M-V72"/>
    <m/>
  </r>
  <r>
    <d v="2025-03-31T00:00:00"/>
    <s v="Donald Roméo"/>
    <s v="Versement"/>
    <m/>
    <n v="189000"/>
    <m/>
    <n v="1243273"/>
    <x v="14"/>
    <s v="CA-M-V73"/>
    <m/>
  </r>
  <r>
    <d v="2025-03-31T00:00:00"/>
    <s v="Frais de transfert d'argent à Crepin, Me Alain et Donald-Romeo"/>
    <s v="Transfert fees"/>
    <s v="Office"/>
    <n v="16890"/>
    <m/>
    <n v="1226383"/>
    <x v="9"/>
    <s v="CA-M-R5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6">
  <r>
    <d v="2025-03-01T00:00:00"/>
    <s v="CREPIN - CONGO Hébergement à l'hôtel Case Mbali d'Owando, 05 Nuitées du 24/02/ au 01/03/2025 "/>
    <x v="0"/>
    <x v="0"/>
    <n v="75000"/>
    <n v="129.47754945610797"/>
    <n v="579.25099999999998"/>
    <x v="0"/>
    <s v="CR-M-R1"/>
    <s v="PALF"/>
    <s v="OAK"/>
    <s v="CONGO"/>
    <m/>
    <m/>
    <m/>
  </r>
  <r>
    <d v="2025-03-01T00:00:00"/>
    <s v="Achat billet Owando-Brazzaville(Trans bony)/Abraham"/>
    <x v="1"/>
    <x v="1"/>
    <n v="7000"/>
    <n v="12.084571282570078"/>
    <n v="579.25099999999998"/>
    <x v="1"/>
    <s v="AB-M-R1"/>
    <s v="PALF"/>
    <s v="OAK"/>
    <s v="CONGO"/>
    <m/>
    <m/>
    <m/>
  </r>
  <r>
    <d v="2025-03-01T00:00:00"/>
    <s v="ABRAHAM - CONGO frais d'Hôtel (Hôtel Case Mbali) du 20/02/2025 au 01/03/2025 Owando (09Nuitées)"/>
    <x v="0"/>
    <x v="1"/>
    <n v="135000"/>
    <n v="233.05958902099437"/>
    <n v="579.25099999999998"/>
    <x v="1"/>
    <s v="AB-M-R2"/>
    <s v="PALF"/>
    <s v="OAK"/>
    <s v="CONGO"/>
    <m/>
    <m/>
    <m/>
  </r>
  <r>
    <d v="2025-03-03T00:00:00"/>
    <s v="Achat credit  teléphonique MTN/PALF/Première partie du mois de Mars2025/Management"/>
    <x v="2"/>
    <x v="2"/>
    <n v="47000"/>
    <n v="81.139264325827668"/>
    <n v="579.25099999999998"/>
    <x v="2"/>
    <s v="CA-M-R1"/>
    <s v="PALF"/>
    <s v="OAK"/>
    <s v="CONGO"/>
    <m/>
    <m/>
    <m/>
  </r>
  <r>
    <d v="2025-03-03T00:00:00"/>
    <s v="Achat credit  teléphonique MTN/PALF/Première partie du mois de Mars 2025/Legal"/>
    <x v="2"/>
    <x v="1"/>
    <n v="74000"/>
    <n v="127.75118213002654"/>
    <n v="579.25099999999998"/>
    <x v="2"/>
    <s v="CA-M-R2"/>
    <s v="PALF"/>
    <s v="OAK"/>
    <s v="CONGO"/>
    <m/>
    <m/>
    <m/>
  </r>
  <r>
    <d v="2025-03-03T00:00:00"/>
    <s v="Achat credit  teléphonique MTN/PALF/Première partie du mois de Mars 2025/Investigation"/>
    <x v="2"/>
    <x v="3"/>
    <n v="88000"/>
    <n v="151.9203246951667"/>
    <n v="579.25099999999998"/>
    <x v="2"/>
    <s v="CA-M-R3"/>
    <s v="PALF"/>
    <s v="OAK"/>
    <s v="CONGO"/>
    <m/>
    <m/>
    <m/>
  </r>
  <r>
    <d v="2025-03-03T00:00:00"/>
    <s v="Achat credit  teléphonique MTN/PALF/Première partie du mois de Mars 2025/Media"/>
    <x v="2"/>
    <x v="4"/>
    <n v="10000"/>
    <n v="17.263673260814397"/>
    <n v="579.25099999999998"/>
    <x v="2"/>
    <s v="CA-M-R4"/>
    <s v="PALF"/>
    <s v="OAK"/>
    <s v="CONGO"/>
    <m/>
    <m/>
    <m/>
  </r>
  <r>
    <d v="2025-03-03T00:00:00"/>
    <s v="Achat credit  teléphonique Airtel/PALF/Première partie du mois de Mars 2025/Legal"/>
    <x v="2"/>
    <x v="1"/>
    <n v="10000"/>
    <n v="17.263673260814397"/>
    <n v="579.25099999999998"/>
    <x v="2"/>
    <s v="CA-M-R5"/>
    <s v="PALF"/>
    <s v="OAK"/>
    <s v="CONGO"/>
    <m/>
    <m/>
    <m/>
  </r>
  <r>
    <d v="2025-03-03T00:00:00"/>
    <s v="Achat credit  teléphonique Airtel/PALF/Première partie du mois de Mars 2025/Investigation"/>
    <x v="2"/>
    <x v="3"/>
    <n v="16000"/>
    <n v="27.621877217303034"/>
    <n v="579.25099999999998"/>
    <x v="2"/>
    <s v="CA-M-R6"/>
    <s v="PALF"/>
    <s v="OAK"/>
    <s v="CONGO"/>
    <m/>
    <m/>
    <m/>
  </r>
  <r>
    <d v="2025-03-03T00:00:00"/>
    <s v="Achat credit  teléphonique Airtel/PALF/Première partie du mois de Mars 2025/Media"/>
    <x v="2"/>
    <x v="4"/>
    <n v="11000"/>
    <n v="18.990040586895837"/>
    <n v="579.25099999999998"/>
    <x v="2"/>
    <s v="CA-M-R7"/>
    <s v="PALF"/>
    <s v="OAK"/>
    <s v="CONGO"/>
    <m/>
    <m/>
    <m/>
  </r>
  <r>
    <d v="2025-03-03T00:00:00"/>
    <s v="Achat 01 telephone Tecno POP 7/ 64GB et 4ROM pour Abraham"/>
    <x v="3"/>
    <x v="1"/>
    <n v="65000"/>
    <n v="112.21387619529358"/>
    <n v="579.25099999999998"/>
    <x v="2"/>
    <s v="CA-M-R8"/>
    <s v="PALF"/>
    <s v="OAK"/>
    <s v="CONGO"/>
    <m/>
    <m/>
    <m/>
  </r>
  <r>
    <d v="2025-03-03T00:00:00"/>
    <s v="Bonus operation du 24/02/2025 à Owando/Evariste"/>
    <x v="4"/>
    <x v="5"/>
    <n v="45000"/>
    <n v="77.686529673664793"/>
    <n v="579.25099999999998"/>
    <x v="2"/>
    <s v="CA-M-D1"/>
    <s v="PALF"/>
    <s v="OAK"/>
    <s v="CONGO"/>
    <m/>
    <m/>
    <m/>
  </r>
  <r>
    <d v="2025-03-03T00:00:00"/>
    <s v="Bonus du mois de Janvier 2025/Evariste"/>
    <x v="5"/>
    <x v="4"/>
    <n v="30000"/>
    <n v="51.791019782443193"/>
    <n v="579.25099999999998"/>
    <x v="2"/>
    <s v="CA-M-D2"/>
    <s v="PALF"/>
    <s v="OAK"/>
    <s v="CONGO"/>
    <m/>
    <m/>
    <m/>
  </r>
  <r>
    <d v="2025-03-03T00:00:00"/>
    <s v="Bonus du mois de Janvier 2025/Merveille"/>
    <x v="5"/>
    <x v="6"/>
    <n v="94430"/>
    <n v="163.02086660187035"/>
    <n v="579.25099999999998"/>
    <x v="2"/>
    <s v="CA-M-D3"/>
    <s v="PALF"/>
    <s v="OAK"/>
    <s v="CONGO"/>
    <m/>
    <m/>
    <m/>
  </r>
  <r>
    <d v="2025-03-03T00:00:00"/>
    <s v="Bonus operation du 24/02/2025 à Owando/Merveille"/>
    <x v="4"/>
    <x v="5"/>
    <n v="20000"/>
    <n v="34.527346521628793"/>
    <n v="579.25099999999998"/>
    <x v="2"/>
    <s v="CA-M-D4"/>
    <s v="PALF"/>
    <s v="OAK"/>
    <s v="CONGO"/>
    <m/>
    <m/>
    <m/>
  </r>
  <r>
    <d v="2025-03-03T00:00:00"/>
    <s v="Bonus operation du 24/02/2025 à Owando/Abraham"/>
    <x v="4"/>
    <x v="5"/>
    <n v="45000"/>
    <n v="77.686529673664793"/>
    <n v="579.25099999999998"/>
    <x v="2"/>
    <s v="CA-M-D6"/>
    <s v="PALF"/>
    <s v="OAK"/>
    <s v="CONGO"/>
    <m/>
    <m/>
    <m/>
  </r>
  <r>
    <d v="2025-03-03T00:00:00"/>
    <s v="Bonus du mois de Janvier 2025/Abraham"/>
    <x v="5"/>
    <x v="1"/>
    <n v="30000"/>
    <n v="51.791019782443193"/>
    <n v="579.25099999999998"/>
    <x v="2"/>
    <s v="CA-M-D7"/>
    <s v="PALF"/>
    <s v="OAK"/>
    <s v="CONGO"/>
    <m/>
    <m/>
    <m/>
  </r>
  <r>
    <d v="2025-03-03T00:00:00"/>
    <s v="Bonus du mois de Janvier 2025/Roderlin"/>
    <x v="5"/>
    <x v="1"/>
    <n v="30000"/>
    <n v="51.791019782443193"/>
    <n v="579.25099999999998"/>
    <x v="2"/>
    <s v="CA-M-D8"/>
    <s v="PALF"/>
    <s v="OAK"/>
    <s v="CONGO"/>
    <m/>
    <m/>
    <m/>
  </r>
  <r>
    <d v="2025-03-03T00:00:00"/>
    <s v="Achat 10 ampoules pour le bureau "/>
    <x v="6"/>
    <x v="6"/>
    <n v="25000"/>
    <n v="43.159183152035993"/>
    <n v="579.25099999999998"/>
    <x v="3"/>
    <s v="CA-M-R9"/>
    <s v="PALF"/>
    <s v="OAK"/>
    <s v="CONGO"/>
    <m/>
    <m/>
    <m/>
  </r>
  <r>
    <d v="2025-03-03T00:00:00"/>
    <s v="Bonus du mois de Janvier 2025/Parfaite"/>
    <x v="5"/>
    <x v="6"/>
    <n v="15000"/>
    <n v="25.895509891221597"/>
    <n v="579.25099999999998"/>
    <x v="3"/>
    <s v="CA-M-D5"/>
    <s v="PALF"/>
    <s v="OAK"/>
    <s v="CONGO"/>
    <m/>
    <m/>
    <m/>
  </r>
  <r>
    <d v="2025-03-03T00:00:00"/>
    <s v="Achat carburant 100 Litres de gazoil groupe electrogène Bureau"/>
    <x v="6"/>
    <x v="6"/>
    <n v="62500"/>
    <n v="107.89795788008998"/>
    <n v="579.25099999999998"/>
    <x v="1"/>
    <s v="CA-M-R10"/>
    <s v="PALF"/>
    <s v="OAK"/>
    <s v="CONGO"/>
    <m/>
    <m/>
    <m/>
  </r>
  <r>
    <d v="2025-03-03T00:00:00"/>
    <s v="Reglement loyer du mois de Février 2025/3654804"/>
    <x v="7"/>
    <x v="6"/>
    <n v="500000"/>
    <n v="863.18366304071981"/>
    <n v="579.25099999999998"/>
    <x v="4"/>
    <s v="BQ-M-R1"/>
    <s v="PALF"/>
    <s v="OAK"/>
    <s v="CONGO"/>
    <m/>
    <m/>
    <m/>
  </r>
  <r>
    <d v="2025-03-03T00:00:00"/>
    <s v="Paiement salaire du mois de Février 2025/FOUMBA Roderlin/3654808"/>
    <x v="5"/>
    <x v="1"/>
    <n v="200000"/>
    <n v="345.27346521628795"/>
    <n v="579.25099999999998"/>
    <x v="4"/>
    <s v="BQ-M-R2"/>
    <s v="PALF"/>
    <s v="OAK"/>
    <s v="CONGO"/>
    <m/>
    <m/>
    <m/>
  </r>
  <r>
    <d v="2025-03-03T00:00:00"/>
    <s v="Paiement salaire du mois de Février 2025/BOUNGOU MAKOSSO Abraham"/>
    <x v="5"/>
    <x v="1"/>
    <n v="200000"/>
    <n v="345.27346521628795"/>
    <n v="579.25099999999998"/>
    <x v="4"/>
    <s v="BQ-M-R3"/>
    <s v="PALF"/>
    <s v="OAK"/>
    <s v="CONGO"/>
    <m/>
    <m/>
    <m/>
  </r>
  <r>
    <d v="2025-03-03T00:00:00"/>
    <s v="Paiement salaire du mois de Février 2025/LOUNDOU JeanRomain/3654807"/>
    <x v="5"/>
    <x v="1"/>
    <n v="200000"/>
    <n v="345.27346521628795"/>
    <n v="579.25099999999998"/>
    <x v="4"/>
    <s v="BQ-M-R4"/>
    <s v="PALF"/>
    <s v="OAK"/>
    <s v="CONGO"/>
    <m/>
    <m/>
    <m/>
  </r>
  <r>
    <d v="2025-03-03T00:00:00"/>
    <s v="Paiement salaire du mois de Février 2025/Crepin IBOUILI-IBOUILI"/>
    <x v="5"/>
    <x v="1"/>
    <n v="551482"/>
    <n v="952.06050572204458"/>
    <n v="579.25099999999998"/>
    <x v="4"/>
    <s v="BQ-M-R5"/>
    <s v="PALF"/>
    <s v="OAK"/>
    <s v="CONGO"/>
    <m/>
    <m/>
    <m/>
  </r>
  <r>
    <d v="2025-03-03T00:00:00"/>
    <s v="Paiement salaire du mois de Février 2025/Merveille MAHANGA"/>
    <x v="5"/>
    <x v="6"/>
    <n v="384789"/>
    <n v="664.2871570355511"/>
    <n v="579.25099999999998"/>
    <x v="4"/>
    <s v="BQ-M-R6"/>
    <s v="PALF"/>
    <s v="OAK"/>
    <s v="CONGO"/>
    <m/>
    <m/>
    <m/>
  </r>
  <r>
    <d v="2025-03-03T00:00:00"/>
    <s v="Paiement salaire du mois de Février 2025/Evariste LELOUSSI"/>
    <x v="5"/>
    <x v="4"/>
    <n v="238140"/>
    <n v="411.11711503303405"/>
    <n v="579.25099999999998"/>
    <x v="4"/>
    <s v="BQ-M-R7"/>
    <s v="PALF"/>
    <s v="OAK"/>
    <s v="CONGO"/>
    <m/>
    <m/>
    <m/>
  </r>
  <r>
    <d v="2025-03-03T00:00:00"/>
    <s v="Reglement honoraire du mois de Février 2025/T73/3654813"/>
    <x v="5"/>
    <x v="3"/>
    <n v="405000"/>
    <n v="699.17876706298307"/>
    <n v="579.25099999999998"/>
    <x v="4"/>
    <s v="BQ-M-R8"/>
    <s v="PALF"/>
    <s v="OAK"/>
    <s v="CONGO"/>
    <m/>
    <m/>
    <m/>
  </r>
  <r>
    <d v="2025-03-03T00:00:00"/>
    <s v="Reglement honoraire du mois de Février 2025/P29/3654814"/>
    <x v="5"/>
    <x v="3"/>
    <n v="460000"/>
    <n v="794.12896999746226"/>
    <n v="579.25099999999998"/>
    <x v="4"/>
    <s v="BQ-M-R9"/>
    <s v="PALF"/>
    <s v="OAK"/>
    <s v="CONGO"/>
    <m/>
    <m/>
    <m/>
  </r>
  <r>
    <d v="2025-03-03T00:00:00"/>
    <s v="Reglement honoraire du mois de Février 2025/IT87/3654815"/>
    <x v="5"/>
    <x v="3"/>
    <n v="255000"/>
    <n v="440.22366815076714"/>
    <n v="579.25099999999998"/>
    <x v="4"/>
    <s v="BQ-M-R10"/>
    <s v="PALF"/>
    <s v="OAK"/>
    <s v="CONGO"/>
    <m/>
    <m/>
    <m/>
  </r>
  <r>
    <d v="2025-03-03T00:00:00"/>
    <s v="Reglement honoraire du mois de Février 2025/G12/3654816"/>
    <x v="5"/>
    <x v="3"/>
    <n v="255000"/>
    <n v="440.22366815076714"/>
    <n v="579.25099999999998"/>
    <x v="4"/>
    <s v="BQ-M-R11"/>
    <s v="PALF"/>
    <s v="OAK"/>
    <s v="CONGO"/>
    <m/>
    <m/>
    <m/>
  </r>
  <r>
    <d v="2025-03-03T00:00:00"/>
    <s v="Reglement Facture Gardiennage Mois de Février 2025/3654817"/>
    <x v="8"/>
    <x v="6"/>
    <n v="260000"/>
    <n v="448.85550478117432"/>
    <n v="579.25099999999998"/>
    <x v="4"/>
    <s v="BQ-M-R12"/>
    <s v="PALF"/>
    <s v="OAK"/>
    <s v="CONGO"/>
    <m/>
    <m/>
    <m/>
  </r>
  <r>
    <d v="2025-03-03T00:00:00"/>
    <s v="Frais de virement salaire février 2025"/>
    <x v="9"/>
    <x v="6"/>
    <n v="10665"/>
    <n v="18.411707532658554"/>
    <n v="579.25099999999998"/>
    <x v="4"/>
    <s v="BQ-M-R13"/>
    <s v="PALF"/>
    <s v="OAK"/>
    <s v="CONGO"/>
    <m/>
    <m/>
    <m/>
  </r>
  <r>
    <d v="2025-03-03T00:00:00"/>
    <s v="Acompte honoraire contrat N°64_Dolisie cas NZETSI BIMOKO et Consorts/Maitre Marie Hélène NANITELAMIO MALONGA"/>
    <x v="10"/>
    <x v="1"/>
    <n v="300000"/>
    <n v="517.91019782443186"/>
    <n v="579.25099999999998"/>
    <x v="4"/>
    <s v="BQ-M-R14"/>
    <s v="PALF"/>
    <s v="OAK"/>
    <s v="CONGO"/>
    <m/>
    <m/>
    <m/>
  </r>
  <r>
    <d v="2025-03-04T00:00:00"/>
    <s v="Bonus à un informateur en RDC "/>
    <x v="11"/>
    <x v="3"/>
    <n v="30000"/>
    <n v="51.791019782443193"/>
    <n v="579.25099999999998"/>
    <x v="5"/>
    <s v="CA-M-R12"/>
    <s v="PALF"/>
    <s v="OAK"/>
    <s v="CONGO"/>
    <m/>
    <m/>
    <m/>
  </r>
  <r>
    <d v="2025-03-04T00:00:00"/>
    <s v="Cumul frais de transport local du mois de Mars 2025/Merveille"/>
    <x v="1"/>
    <x v="6"/>
    <n v="9900"/>
    <n v="17.091036528206253"/>
    <n v="579.25099999999998"/>
    <x v="2"/>
    <s v="M-M-D1"/>
    <s v="PALF"/>
    <s v="OAK"/>
    <s v="CONGO"/>
    <m/>
    <m/>
    <m/>
  </r>
  <r>
    <d v="2025-03-04T00:00:00"/>
    <s v="Paiement salaire des jours travaillés en février 2025/Parfaite"/>
    <x v="5"/>
    <x v="6"/>
    <n v="131428"/>
    <n v="226.89300493223146"/>
    <n v="579.25099999999998"/>
    <x v="2"/>
    <s v="CA-M-R11"/>
    <s v="PALF"/>
    <s v="OAK"/>
    <s v="CONGO"/>
    <m/>
    <m/>
    <m/>
  </r>
  <r>
    <d v="2025-03-04T00:00:00"/>
    <s v="Frais de transport mission maitre Marie Helène à Owando du 05 au 07/03/2025 suivi audience cas EBI"/>
    <x v="1"/>
    <x v="1"/>
    <n v="20000"/>
    <n v="34.527346521628793"/>
    <n v="579.25099999999998"/>
    <x v="2"/>
    <s v="CA-M-R16"/>
    <s v="PALF"/>
    <s v="OAK"/>
    <s v="CONGO"/>
    <m/>
    <m/>
    <m/>
  </r>
  <r>
    <d v="2025-03-04T00:00:00"/>
    <s v="Ration et frais d'hotel mission maitre Marie Helène à Owando du 05 au 07/03/2025 suivi audience cas EBI"/>
    <x v="12"/>
    <x v="1"/>
    <n v="50000"/>
    <n v="86.318366304071986"/>
    <n v="579.25099999999998"/>
    <x v="2"/>
    <s v="CA-M-R17"/>
    <s v="PALF"/>
    <s v="OAK"/>
    <s v="CONGO"/>
    <m/>
    <m/>
    <m/>
  </r>
  <r>
    <d v="2025-03-04T00:00:00"/>
    <s v="Bonus du mois de Janvier 2025/Crepin"/>
    <x v="5"/>
    <x v="1"/>
    <n v="30000"/>
    <n v="51.791019782443193"/>
    <n v="579.25099999999998"/>
    <x v="2"/>
    <s v="CA-M-D10"/>
    <s v="PALF"/>
    <s v="OAK"/>
    <s v="CONGO"/>
    <m/>
    <m/>
    <m/>
  </r>
  <r>
    <d v="2025-03-04T00:00:00"/>
    <s v="Bonus operation du 24/02/2025 à Owando/Crepin"/>
    <x v="4"/>
    <x v="5"/>
    <n v="50000"/>
    <n v="86.318366304071986"/>
    <n v="579.25099999999998"/>
    <x v="2"/>
    <s v="CA-M-D11"/>
    <s v="PALF"/>
    <s v="OAK"/>
    <s v="CONGO"/>
    <m/>
    <m/>
    <m/>
  </r>
  <r>
    <d v="2025-03-04T00:00:00"/>
    <s v="Frais de transfert d'argent à Romain et Crepin"/>
    <x v="13"/>
    <x v="6"/>
    <n v="8700"/>
    <n v="15.019395736908526"/>
    <n v="579.25099999999998"/>
    <x v="3"/>
    <s v="CA-M-R14"/>
    <s v="PALF"/>
    <s v="OAK"/>
    <s v="CONGO"/>
    <m/>
    <m/>
    <m/>
  </r>
  <r>
    <d v="2025-03-04T00:00:00"/>
    <s v="Complement frais de mission maitre Banzouzi du 04 au 08/03/3035 à Owando"/>
    <x v="12"/>
    <x v="1"/>
    <n v="100000"/>
    <n v="172.63673260814397"/>
    <n v="579.25099999999998"/>
    <x v="3"/>
    <s v="CA-M-R15"/>
    <s v="PALF"/>
    <s v="OAK"/>
    <s v="CONGO"/>
    <m/>
    <m/>
    <m/>
  </r>
  <r>
    <d v="2025-03-04T00:00:00"/>
    <s v="payement frais d'inscription et mensuel pour la formation en anglais"/>
    <x v="5"/>
    <x v="7"/>
    <n v="65000"/>
    <n v="112.21387619529358"/>
    <n v="579.25099999999998"/>
    <x v="6"/>
    <s v="T73-M-R1"/>
    <s v="PALF"/>
    <s v="OAK"/>
    <s v="CONGO"/>
    <m/>
    <m/>
    <m/>
  </r>
  <r>
    <d v="2025-03-04T00:00:00"/>
    <s v="ROMAIN-CONGO Ration du 04 au 08/03/2025 à Owando (04 Nuitées) "/>
    <x v="0"/>
    <x v="0"/>
    <n v="40000"/>
    <n v="69.054693043257586"/>
    <n v="579.25099999999998"/>
    <x v="7"/>
    <s v="RM-M-D1"/>
    <s v="PALF"/>
    <s v="OAK"/>
    <s v="CONGO"/>
    <m/>
    <m/>
    <m/>
  </r>
  <r>
    <d v="2025-03-04T00:00:00"/>
    <s v="Frais de transfert d'argent en RDC"/>
    <x v="13"/>
    <x v="6"/>
    <n v="1952"/>
    <n v="3.3698690205109703"/>
    <n v="579.25099999999998"/>
    <x v="8"/>
    <s v="CA-M-R13"/>
    <s v="PALF"/>
    <s v="OAK"/>
    <s v="CONGO"/>
    <m/>
    <m/>
    <m/>
  </r>
  <r>
    <d v="2025-03-04T00:00:00"/>
    <s v="Bonus media portant sur l'interpellation de 2 Présumés trafiquants le 24/02/205 à Owando"/>
    <x v="14"/>
    <x v="4"/>
    <n v="148000"/>
    <n v="255.50236426005307"/>
    <n v="579.25099999999998"/>
    <x v="9"/>
    <s v="CA-M-D9"/>
    <s v="PALF"/>
    <s v="OAK"/>
    <s v="CONGO"/>
    <m/>
    <m/>
    <m/>
  </r>
  <r>
    <d v="2025-03-05T00:00:00"/>
    <s v="CREPIN - CONGO Ration du du 05 au 08/03/2025  03 Nuitées  à Owando(03 Nuitées)"/>
    <x v="0"/>
    <x v="0"/>
    <n v="30000"/>
    <n v="51.791019782443193"/>
    <n v="579.25099999999998"/>
    <x v="0"/>
    <s v="CR-M-D1"/>
    <s v="PALF"/>
    <s v="OAK"/>
    <s v="CONGO"/>
    <m/>
    <m/>
    <m/>
  </r>
  <r>
    <d v="2025-03-06T00:00:00"/>
    <s v="Règlement loyer du mois de Février 2025/DOVI Coordinateur PALF "/>
    <x v="5"/>
    <x v="2"/>
    <n v="174625"/>
    <n v="301.46689431697143"/>
    <n v="579.25099999999998"/>
    <x v="5"/>
    <s v="DH-M-R2"/>
    <s v="PALF"/>
    <s v="OAK"/>
    <s v="CONGO"/>
    <m/>
    <m/>
    <m/>
  </r>
  <r>
    <d v="2025-03-06T00:00:00"/>
    <s v="Bonus à un informateur en RDC"/>
    <x v="11"/>
    <x v="3"/>
    <n v="30000"/>
    <n v="51.791019782443193"/>
    <n v="579.25099999999998"/>
    <x v="5"/>
    <s v="CA-M-R18"/>
    <s v="PALF"/>
    <s v="OAK"/>
    <s v="CONGO"/>
    <m/>
    <m/>
    <m/>
  </r>
  <r>
    <d v="2025-03-06T00:00:00"/>
    <s v="Achat billet brazzaville - dolisie/G12"/>
    <x v="1"/>
    <x v="3"/>
    <n v="7000"/>
    <n v="12.084571282570078"/>
    <n v="579.25099999999998"/>
    <x v="10"/>
    <s v="G12-M-R1"/>
    <s v="PALF"/>
    <s v="OAK"/>
    <s v="CONGO"/>
    <m/>
    <m/>
    <m/>
  </r>
  <r>
    <d v="2025-03-06T00:00:00"/>
    <s v="Frais de transfert Bonus à un informateur en RDC"/>
    <x v="13"/>
    <x v="6"/>
    <n v="1952"/>
    <n v="3.3698690205109703"/>
    <n v="579.25099999999998"/>
    <x v="8"/>
    <s v="CA-M-R19"/>
    <s v="PALF"/>
    <s v="OAK"/>
    <s v="CONGO"/>
    <m/>
    <m/>
    <m/>
  </r>
  <r>
    <d v="2025-03-07T00:00:00"/>
    <s v="Reparation de court -circuit électrique du bureau"/>
    <x v="8"/>
    <x v="6"/>
    <n v="20000"/>
    <n v="34.527346521628793"/>
    <n v="579.25099999999998"/>
    <x v="5"/>
    <s v="CA-M-R20"/>
    <s v="PALF"/>
    <s v="OAK"/>
    <s v="CONGO"/>
    <m/>
    <m/>
    <m/>
  </r>
  <r>
    <d v="2025-03-07T00:00:00"/>
    <s v="G12 - GONGO Ration du 07 au 24/03/2025 à Dolisie et Madingou "/>
    <x v="0"/>
    <x v="3"/>
    <n v="170000"/>
    <n v="293.48244543384476"/>
    <n v="579.25099999999998"/>
    <x v="10"/>
    <s v="G12-M-D1"/>
    <s v="PALF"/>
    <s v="OAK"/>
    <s v="CONGO"/>
    <m/>
    <m/>
    <m/>
  </r>
  <r>
    <d v="2025-03-07T00:00:00"/>
    <s v="RAPATRIEME01100 RAO00010768/CHENE"/>
    <x v="15"/>
    <x v="8"/>
    <m/>
    <n v="0"/>
    <n v="579.64599999999996"/>
    <x v="4"/>
    <s v="BQ-M-G1"/>
    <s v="PALF"/>
    <s v="CHÊNE "/>
    <s v="CONGO"/>
    <n v="17389380"/>
    <n v="30000"/>
    <m/>
  </r>
  <r>
    <d v="2025-03-07T00:00:00"/>
    <s v="RAPATRIEME01100 RAO00010768/OAT"/>
    <x v="15"/>
    <x v="8"/>
    <m/>
    <n v="0"/>
    <n v="579.64599999999996"/>
    <x v="4"/>
    <s v="BQ-M-G2"/>
    <s v="PALF"/>
    <s v="OAT"/>
    <s v="CONGO"/>
    <n v="2898230"/>
    <n v="5000"/>
    <m/>
  </r>
  <r>
    <d v="2025-03-08T00:00:00"/>
    <s v="CREPIN-IBOULI CONGO Hébergement à l'hôtel Case Mbali d'Owando, 07 Nuitées du  01 au 08/03/2025 "/>
    <x v="0"/>
    <x v="0"/>
    <n v="105000"/>
    <n v="181.26856923855118"/>
    <n v="579.25099999999998"/>
    <x v="0"/>
    <s v="CR-M-R2"/>
    <s v="PALF"/>
    <s v="OAK"/>
    <s v="CONGO"/>
    <m/>
    <m/>
    <m/>
  </r>
  <r>
    <d v="2025-03-08T00:00:00"/>
    <s v="Billet: Owando-Brazaville/Crepin"/>
    <x v="1"/>
    <x v="0"/>
    <n v="7000"/>
    <n v="12.084571282570078"/>
    <n v="579.25099999999998"/>
    <x v="0"/>
    <s v="CR-M-R3"/>
    <s v="PALF"/>
    <s v="OAK"/>
    <s v="CONGO"/>
    <m/>
    <m/>
    <m/>
  </r>
  <r>
    <d v="2025-03-08T00:00:00"/>
    <s v="ROMAIN - CONGO Frais d'hotel du 25/02/au 08/03/2025 à Owando"/>
    <x v="0"/>
    <x v="0"/>
    <n v="165000"/>
    <n v="284.85060880343758"/>
    <n v="579.25099999999998"/>
    <x v="7"/>
    <s v="RM-M-R1"/>
    <s v="PALF"/>
    <s v="OAK"/>
    <s v="CONGO"/>
    <m/>
    <m/>
    <m/>
  </r>
  <r>
    <d v="2025-03-10T00:00:00"/>
    <s v="Bonus du mois de Février 2025/Romain"/>
    <x v="5"/>
    <x v="1"/>
    <n v="30000"/>
    <n v="51.791019782443193"/>
    <n v="579.25099999999998"/>
    <x v="2"/>
    <s v="CA-M-D12"/>
    <s v="PALF"/>
    <s v="OAK"/>
    <s v="CONGO"/>
    <m/>
    <m/>
    <m/>
  </r>
  <r>
    <d v="2025-03-10T00:00:00"/>
    <s v="Bonus operation du 24/02/2025 à Owando/Romain"/>
    <x v="4"/>
    <x v="5"/>
    <n v="45000"/>
    <n v="77.686529673664793"/>
    <n v="579.25099999999998"/>
    <x v="2"/>
    <s v="CA-M-D13"/>
    <s v="PALF"/>
    <s v="OAK"/>
    <s v="CONGO"/>
    <m/>
    <m/>
    <m/>
  </r>
  <r>
    <d v="2025-03-10T00:00:00"/>
    <s v="Achat billet Brazzaville-Dolisie/P29"/>
    <x v="1"/>
    <x v="3"/>
    <n v="10000"/>
    <n v="17.263673260814397"/>
    <n v="579.25099999999998"/>
    <x v="11"/>
    <s v="P29-M-R1"/>
    <s v="PALF"/>
    <s v="OAK"/>
    <s v="CONGO"/>
    <m/>
    <m/>
    <m/>
  </r>
  <r>
    <d v="2025-03-10T00:00:00"/>
    <s v="Cumul trust building du mois de Mars 2025/G12 "/>
    <x v="11"/>
    <x v="3"/>
    <n v="16000"/>
    <n v="27.621877217303034"/>
    <n v="579.25099999999998"/>
    <x v="10"/>
    <s v="G12-M-D2"/>
    <s v="PALF"/>
    <s v="OAK"/>
    <s v="CONGO"/>
    <m/>
    <m/>
    <m/>
  </r>
  <r>
    <d v="2025-03-10T00:00:00"/>
    <s v="Frais de transfert d'argent à G12"/>
    <x v="13"/>
    <x v="6"/>
    <n v="4170"/>
    <n v="7.1989517497596038"/>
    <n v="579.25099999999998"/>
    <x v="8"/>
    <s v="CA-M-R21"/>
    <s v="PALF"/>
    <s v="OAK"/>
    <s v="CONGO"/>
    <m/>
    <m/>
    <m/>
  </r>
  <r>
    <d v="2025-03-10T00:00:00"/>
    <s v="Paiement Honoraire Me LOCKO/Mois de Janvier 2025/3654793"/>
    <x v="10"/>
    <x v="1"/>
    <n v="150000"/>
    <n v="258.95509891221593"/>
    <n v="579.25099999999998"/>
    <x v="4"/>
    <s v="BQ-M-R15"/>
    <s v="PALF"/>
    <s v="OAK"/>
    <s v="CONGO"/>
    <m/>
    <m/>
    <m/>
  </r>
  <r>
    <d v="2025-03-10T00:00:00"/>
    <s v="Paiement Honoraire Me LOCKO/Mois de Février 2025/3654820"/>
    <x v="10"/>
    <x v="1"/>
    <n v="150000"/>
    <n v="258.95509891221593"/>
    <n v="579.25099999999998"/>
    <x v="4"/>
    <s v="BQ-M-R16"/>
    <s v="PALF"/>
    <s v="OAK"/>
    <s v="CONGO"/>
    <m/>
    <m/>
    <m/>
  </r>
  <r>
    <d v="2025-03-10T00:00:00"/>
    <s v="Paiement salaire du mois de Février 2025/Homéfa DOVI/3654812"/>
    <x v="5"/>
    <x v="2"/>
    <n v="1311000"/>
    <n v="2263.2675644927676"/>
    <n v="579.25099999999998"/>
    <x v="4"/>
    <s v="BQ-M-R17"/>
    <s v="PALF"/>
    <s v="OAK"/>
    <s v="CONGO"/>
    <m/>
    <m/>
    <m/>
  </r>
  <r>
    <d v="2025-03-11T00:00:00"/>
    <s v="Achat de 14 pagnes africain pour la JIF(08Mars)/Bureau PALF"/>
    <x v="5"/>
    <x v="9"/>
    <n v="112000"/>
    <n v="193.35314052112125"/>
    <n v="579.25099999999998"/>
    <x v="3"/>
    <s v="CA-M-R23"/>
    <s v="PALF"/>
    <s v="OAK"/>
    <s v="CONGO"/>
    <m/>
    <m/>
    <m/>
  </r>
  <r>
    <d v="2025-03-11T00:00:00"/>
    <s v="P29- CONGO Ration mission du 11 au 24/03/2025 à Dolisie et Madingou (13 Nuitées)"/>
    <x v="0"/>
    <x v="3"/>
    <n v="130000"/>
    <n v="224.27481600839135"/>
    <n v="579.64599999999996"/>
    <x v="11"/>
    <s v="P29-M-D1"/>
    <s v="PALF"/>
    <s v="OAT"/>
    <s v="CONGO"/>
    <m/>
    <m/>
    <m/>
  </r>
  <r>
    <d v="2025-03-11T00:00:00"/>
    <s v="T73 - CONGO Ration du 11 au 18/03/2025 (07nuitées) à Djambala,Lékana et NGO"/>
    <x v="0"/>
    <x v="3"/>
    <n v="70000"/>
    <n v="120.76336246605688"/>
    <n v="579.64599999999996"/>
    <x v="6"/>
    <s v="T73-M-D1"/>
    <s v="PALF"/>
    <s v="OAT"/>
    <s v="CONGO"/>
    <m/>
    <m/>
    <m/>
  </r>
  <r>
    <d v="2025-03-11T00:00:00"/>
    <s v="achat billet : Brazzaville - Djambala/T73"/>
    <x v="1"/>
    <x v="3"/>
    <n v="6000"/>
    <n v="10.351145354233447"/>
    <n v="579.64599999999996"/>
    <x v="6"/>
    <s v="T73-M-R2"/>
    <s v="PALF"/>
    <s v="OAT"/>
    <s v="CONGO"/>
    <m/>
    <m/>
    <m/>
  </r>
  <r>
    <d v="2025-03-11T00:00:00"/>
    <s v="IT87 - CONGO Ration du 11 au 18/03/2025 à Pointe-Noire et Nkayi "/>
    <x v="0"/>
    <x v="3"/>
    <n v="70000"/>
    <n v="120.76336246605688"/>
    <n v="579.64599999999996"/>
    <x v="12"/>
    <s v="IT87-M-D1"/>
    <s v="PALF"/>
    <s v="OAT"/>
    <s v="CONGO"/>
    <m/>
    <m/>
    <m/>
  </r>
  <r>
    <d v="2025-03-11T00:00:00"/>
    <s v="Achat billet Brazzaville - Pointe-Noire/ IT87"/>
    <x v="1"/>
    <x v="3"/>
    <n v="12000"/>
    <n v="20.702290708466894"/>
    <n v="579.64599999999996"/>
    <x v="12"/>
    <s v="IT87-M-R1"/>
    <s v="PALF"/>
    <s v="OAT"/>
    <s v="CONGO"/>
    <m/>
    <m/>
    <m/>
  </r>
  <r>
    <d v="2025-03-11T00:00:00"/>
    <s v="Règlement facture électricité piode Janvier-Février2025/bureau PALF"/>
    <x v="7"/>
    <x v="6"/>
    <n v="72102"/>
    <n v="124.38971372182333"/>
    <n v="579.64599999999996"/>
    <x v="8"/>
    <s v="CA-M-R22"/>
    <s v="PALF"/>
    <s v="OAT"/>
    <s v="CONGO"/>
    <m/>
    <m/>
    <m/>
  </r>
  <r>
    <d v="2025-03-11T00:00:00"/>
    <s v="Virement fonds à CJ"/>
    <x v="15"/>
    <x v="8"/>
    <n v="2107400"/>
    <n v="3635.6672865852611"/>
    <n v="579.64599999999996"/>
    <x v="4"/>
    <s v="BQ-M-G3"/>
    <s v="PALF"/>
    <s v="UE"/>
    <s v="CONGO"/>
    <m/>
    <m/>
    <m/>
  </r>
  <r>
    <d v="2025-03-11T00:00:00"/>
    <s v="Frais de virement de fonds à CJ"/>
    <x v="9"/>
    <x v="6"/>
    <n v="24268"/>
    <n v="41.866932576089546"/>
    <n v="579.64599999999996"/>
    <x v="4"/>
    <s v="BQ-M-R18"/>
    <s v="PALF"/>
    <s v="OAT"/>
    <s v="CONGO"/>
    <m/>
    <m/>
    <m/>
  </r>
  <r>
    <d v="2025-03-11T00:00:00"/>
    <s v="Paiement congé et jours travaillés en Mars 2025/Merveille MAHANGA"/>
    <x v="5"/>
    <x v="6"/>
    <n v="398693"/>
    <n v="688.29056833738741"/>
    <n v="579.25099999999998"/>
    <x v="4"/>
    <s v="BQ-M-R19"/>
    <s v="PALF"/>
    <s v="OAK"/>
    <s v="CONGO"/>
    <m/>
    <m/>
    <m/>
  </r>
  <r>
    <d v="2025-03-11T00:00:00"/>
    <s v="Frais de virement salaire Mervielle Mars 2025"/>
    <x v="9"/>
    <x v="6"/>
    <n v="18255"/>
    <n v="31.493359740255261"/>
    <n v="579.64599999999996"/>
    <x v="4"/>
    <s v="BQ-M-R20"/>
    <s v="PALF"/>
    <s v="OAT"/>
    <s v="CONGO"/>
    <m/>
    <m/>
    <m/>
  </r>
  <r>
    <d v="2025-03-12T00:00:00"/>
    <s v="Achat produit d'entretien lait,sucre,javel,papier toilette,sucre,café/Bureau PALF "/>
    <x v="6"/>
    <x v="6"/>
    <n v="56550"/>
    <n v="97.559544963650239"/>
    <n v="579.64599999999996"/>
    <x v="3"/>
    <s v="CA-M-R25"/>
    <s v="PALF"/>
    <s v="OAT"/>
    <s v="CONGO"/>
    <m/>
    <m/>
    <m/>
  </r>
  <r>
    <d v="2025-03-12T00:00:00"/>
    <s v="Achat credit téléphonique MTN pour Donald Roméo periode du 12 au 31/03/2025"/>
    <x v="2"/>
    <x v="1"/>
    <n v="15000"/>
    <n v="25.877863385583616"/>
    <n v="579.64599999999996"/>
    <x v="3"/>
    <s v="CA-M-R26"/>
    <s v="PALF"/>
    <s v="OAT"/>
    <s v="CONGO"/>
    <m/>
    <m/>
    <m/>
  </r>
  <r>
    <d v="2025-03-12T00:00:00"/>
    <s v="T73 - CONGO Frais d'hotel du 11 au 12/03/2025 (01 nuitée ) à Djambala"/>
    <x v="0"/>
    <x v="3"/>
    <n v="15000"/>
    <n v="25.877863385583616"/>
    <n v="579.64599999999996"/>
    <x v="6"/>
    <s v="T73-M-R3"/>
    <s v="PALF"/>
    <s v="OAT"/>
    <s v="CONGO"/>
    <m/>
    <m/>
    <m/>
  </r>
  <r>
    <d v="2025-03-12T00:00:00"/>
    <s v="achat billet : Djambala - Lékana/T73"/>
    <x v="1"/>
    <x v="3"/>
    <n v="4000"/>
    <n v="6.9007635694889649"/>
    <n v="579.64599999999996"/>
    <x v="6"/>
    <s v="T73-M-R4"/>
    <s v="PALF"/>
    <s v="OAT"/>
    <s v="CONGO"/>
    <m/>
    <m/>
    <m/>
  </r>
  <r>
    <d v="2025-03-12T00:00:00"/>
    <s v="Achat eau mineral 16 Litres/Bureau"/>
    <x v="6"/>
    <x v="6"/>
    <n v="25000"/>
    <n v="43.129772309306027"/>
    <n v="579.64599999999996"/>
    <x v="8"/>
    <s v="CA-M-R24"/>
    <s v="PALF"/>
    <s v="OAT"/>
    <s v="CONGO"/>
    <m/>
    <m/>
    <m/>
  </r>
  <r>
    <d v="2025-03-13T00:00:00"/>
    <s v="Frais de transfert d'argent à G12"/>
    <x v="13"/>
    <x v="6"/>
    <n v="1740"/>
    <n v="3.0018321527276997"/>
    <n v="579.64599999999996"/>
    <x v="8"/>
    <s v="CA-M-R27"/>
    <s v="PALF"/>
    <s v="OAT"/>
    <s v="CONGO"/>
    <m/>
    <m/>
    <m/>
  </r>
  <r>
    <d v="2025-03-14T00:00:00"/>
    <s v="T73 - CONGO Frais d'hotel du 12 au 14/03/2025 (02 nuitées ) à Lékana"/>
    <x v="0"/>
    <x v="3"/>
    <n v="30000"/>
    <n v="51.755726771167232"/>
    <n v="579.64599999999996"/>
    <x v="6"/>
    <s v="T73-M-R5"/>
    <s v="PALF"/>
    <s v="OAT"/>
    <s v="CONGO"/>
    <m/>
    <m/>
    <m/>
  </r>
  <r>
    <d v="2025-03-14T00:00:00"/>
    <s v="achat billet : Lekana - Djambala/T73"/>
    <x v="1"/>
    <x v="3"/>
    <n v="4000"/>
    <n v="6.9007635694889649"/>
    <n v="579.64599999999996"/>
    <x v="6"/>
    <s v="T73-M-R6"/>
    <s v="PALF"/>
    <s v="OAT"/>
    <s v="CONGO"/>
    <m/>
    <m/>
    <m/>
  </r>
  <r>
    <d v="2025-03-14T00:00:00"/>
    <s v="Solde honoraire contrat N°81_Owando cas MONICK François/Maitre Marie Alain BAZOUNZI"/>
    <x v="10"/>
    <x v="1"/>
    <n v="300000"/>
    <n v="517.91019782443186"/>
    <n v="579.25099999999998"/>
    <x v="4"/>
    <s v="BQ-M-R21"/>
    <s v="PALF"/>
    <s v="OAK"/>
    <s v="CONGO"/>
    <m/>
    <m/>
    <m/>
  </r>
  <r>
    <d v="2025-03-14T00:00:00"/>
    <s v="Acompte honoraire contrat N°82_Owando cas NGASSAKI Dany et ELOMBO Levy/Maitre Marie Alain BAZOUNZI"/>
    <x v="10"/>
    <x v="1"/>
    <n v="200000"/>
    <n v="345.27346521628795"/>
    <n v="579.25099999999998"/>
    <x v="4"/>
    <s v="BQ-M-R22"/>
    <s v="PALF"/>
    <s v="OAK"/>
    <s v="CONGO"/>
    <m/>
    <m/>
    <m/>
  </r>
  <r>
    <d v="2025-03-15T00:00:00"/>
    <s v="T73 - CONGO Frais d'hotel du 14 au 15/03/2025 (01 nuitée ) à Djambala"/>
    <x v="0"/>
    <x v="3"/>
    <n v="15000"/>
    <n v="25.877863385583616"/>
    <n v="579.64599999999996"/>
    <x v="6"/>
    <s v="T73-M-R7"/>
    <s v="PALF"/>
    <s v="OAT"/>
    <s v="CONGO"/>
    <m/>
    <m/>
    <m/>
  </r>
  <r>
    <d v="2025-03-15T00:00:00"/>
    <s v="achat billet : Djambala - Ngo/T73"/>
    <x v="1"/>
    <x v="3"/>
    <n v="4000"/>
    <n v="6.9007635694889649"/>
    <n v="579.64599999999996"/>
    <x v="6"/>
    <s v="T73-M-R8"/>
    <s v="PALF"/>
    <s v="OAT"/>
    <s v="CONGO"/>
    <m/>
    <m/>
    <m/>
  </r>
  <r>
    <d v="2025-03-16T00:00:00"/>
    <s v="Billet: Brazzaville-Dolisie/Crépin"/>
    <x v="1"/>
    <x v="0"/>
    <n v="10000"/>
    <n v="17.251908923722411"/>
    <n v="579.64599999999996"/>
    <x v="0"/>
    <s v="CR-M-R4"/>
    <s v="PALF"/>
    <s v="OAT"/>
    <s v="CONGO"/>
    <m/>
    <m/>
    <m/>
  </r>
  <r>
    <d v="2025-03-16T00:00:00"/>
    <s v="IT87- CONGO Frais d'hôtel du 11 au 16/03/2025 à Pointe-Noire (05 nuitées)"/>
    <x v="0"/>
    <x v="3"/>
    <n v="75000"/>
    <n v="129.38931692791809"/>
    <n v="579.64599999999996"/>
    <x v="12"/>
    <s v="IT87-M-R2"/>
    <s v="PALF"/>
    <s v="OAT"/>
    <s v="CONGO"/>
    <m/>
    <m/>
    <m/>
  </r>
  <r>
    <d v="2025-03-16T00:00:00"/>
    <s v="Achat billet Pointe-Noire - Nkayi/ IT87"/>
    <x v="1"/>
    <x v="3"/>
    <n v="7000"/>
    <n v="12.076336246605688"/>
    <n v="579.64599999999996"/>
    <x v="12"/>
    <s v="IT87-M-R3"/>
    <s v="PALF"/>
    <s v="OAT"/>
    <s v="CONGO"/>
    <m/>
    <m/>
    <m/>
  </r>
  <r>
    <d v="2025-03-16T00:00:00"/>
    <s v="Achat Billet Brazzaville-Dolisie/Romain"/>
    <x v="1"/>
    <x v="0"/>
    <n v="10000"/>
    <n v="17.251908923722411"/>
    <n v="579.64599999999996"/>
    <x v="7"/>
    <s v="RM-M-R2"/>
    <s v="PALF"/>
    <s v="OAT"/>
    <s v="CONGO"/>
    <m/>
    <m/>
    <m/>
  </r>
  <r>
    <d v="2025-03-16T00:00:00"/>
    <s v="Billet Brazzaville-Dolisie/Abraham"/>
    <x v="1"/>
    <x v="1"/>
    <n v="10000"/>
    <n v="17.251908923722411"/>
    <n v="579.64599999999996"/>
    <x v="1"/>
    <s v="AB-M-R3"/>
    <s v="PALF"/>
    <s v="OAT"/>
    <s v="CONGO"/>
    <m/>
    <m/>
    <m/>
  </r>
  <r>
    <d v="2025-03-16T00:00:00"/>
    <s v="Achat billet Brazzaville-Dolisie/Donald-Roméo"/>
    <x v="16"/>
    <x v="1"/>
    <n v="10000"/>
    <n v="17.251908923722411"/>
    <n v="579.64599999999996"/>
    <x v="13"/>
    <s v="DR-M-R1"/>
    <s v="PALF"/>
    <s v="OAT"/>
    <s v="CONGO"/>
    <m/>
    <m/>
    <m/>
  </r>
  <r>
    <d v="2025-03-16T00:00:00"/>
    <s v="Achat billet Brazzaville-Dolisie/Evariste "/>
    <x v="1"/>
    <x v="5"/>
    <n v="10000"/>
    <n v="17.251908923722411"/>
    <n v="579.64599999999996"/>
    <x v="9"/>
    <s v="EV-M-R1"/>
    <s v="PALF"/>
    <s v="OAT"/>
    <s v="CONGO"/>
    <m/>
    <m/>
    <m/>
  </r>
  <r>
    <d v="2025-03-17T00:00:00"/>
    <s v="CREPIN - CONGO Ration  du 17/03/ au 05/04/2025 à Dolisie(19 Nuitées)"/>
    <x v="0"/>
    <x v="10"/>
    <n v="190000"/>
    <n v="327.78626955072582"/>
    <n v="579.64599999999996"/>
    <x v="0"/>
    <s v="CR-M-D2"/>
    <s v="PALF"/>
    <s v="CHÊNE "/>
    <s v="CONGO"/>
    <m/>
    <m/>
    <m/>
  </r>
  <r>
    <d v="2025-03-17T00:00:00"/>
    <s v="Frais de transfert d'argent à P29 et G12"/>
    <x v="13"/>
    <x v="6"/>
    <n v="12690"/>
    <n v="21.892672424203738"/>
    <n v="579.64599999999996"/>
    <x v="3"/>
    <s v="CA-M-R28"/>
    <s v="PALF"/>
    <s v="OAT"/>
    <s v="CONGO"/>
    <m/>
    <m/>
    <m/>
  </r>
  <r>
    <d v="2025-03-17T00:00:00"/>
    <s v="Achat credit  teléphonique MTN/PALF/Deuxième partie du mois de Mars2025/Management"/>
    <x v="2"/>
    <x v="2"/>
    <n v="20000"/>
    <n v="34.503817847444822"/>
    <n v="579.64599999999996"/>
    <x v="3"/>
    <s v="CA-M-R29"/>
    <s v="PALF"/>
    <s v="OAT"/>
    <s v="CONGO"/>
    <m/>
    <m/>
    <m/>
  </r>
  <r>
    <d v="2025-03-17T00:00:00"/>
    <s v="Achat credit  teléphonique MTN/PALF/Deuxième partie du mois de Mars 2025/Legal"/>
    <x v="2"/>
    <x v="1"/>
    <n v="30000"/>
    <n v="51.755726771167232"/>
    <n v="579.64599999999996"/>
    <x v="3"/>
    <s v="CA-M-R30"/>
    <s v="PALF"/>
    <s v="OAT"/>
    <s v="CONGO"/>
    <m/>
    <m/>
    <m/>
  </r>
  <r>
    <d v="2025-03-17T00:00:00"/>
    <s v="Achat credit  teléphonique MTN/PALF/Deuxième partie du mois de Mars 2025/Investigation"/>
    <x v="2"/>
    <x v="3"/>
    <n v="55000"/>
    <n v="94.885499080473267"/>
    <n v="579.64599999999996"/>
    <x v="3"/>
    <s v="CA-M-R31"/>
    <s v="PALF"/>
    <s v="OAT"/>
    <s v="CONGO"/>
    <m/>
    <m/>
    <m/>
  </r>
  <r>
    <d v="2025-03-17T00:00:00"/>
    <s v="Achat credit  teléphonique MTN/PALF/deuxième partie du mois de Mars 2025/Media"/>
    <x v="2"/>
    <x v="4"/>
    <n v="10000"/>
    <n v="17.251908923722411"/>
    <n v="579.64599999999996"/>
    <x v="3"/>
    <s v="CA-M-R32"/>
    <s v="PALF"/>
    <s v="OAT"/>
    <s v="CONGO"/>
    <m/>
    <m/>
    <m/>
  </r>
  <r>
    <d v="2025-03-17T00:00:00"/>
    <s v="Achat credit  teléphonique Airtel/PALF/Deuxième partie du mois de Mars 2025/Legal"/>
    <x v="2"/>
    <x v="1"/>
    <n v="10000"/>
    <n v="17.251908923722411"/>
    <n v="579.64599999999996"/>
    <x v="3"/>
    <s v="CA-M-R33"/>
    <s v="PALF"/>
    <s v="OAT"/>
    <s v="CONGO"/>
    <m/>
    <m/>
    <m/>
  </r>
  <r>
    <d v="2025-03-17T00:00:00"/>
    <s v="Achat credit  teléphonique Airtel/PALF/Deuxième partie du mois de Mars 2025/Investigation"/>
    <x v="2"/>
    <x v="3"/>
    <n v="5000"/>
    <n v="8.6259544618612054"/>
    <n v="579.64599999999996"/>
    <x v="3"/>
    <s v="CA-M-R34"/>
    <s v="PALF"/>
    <s v="OAT"/>
    <s v="CONGO"/>
    <m/>
    <m/>
    <m/>
  </r>
  <r>
    <d v="2025-03-17T00:00:00"/>
    <s v="ROMAIN-CONGO: Ration du 17 au 29 mars 2025 à Dolisie et Sibiti/ 12 Nuitées"/>
    <x v="0"/>
    <x v="0"/>
    <n v="120000"/>
    <n v="207.02290708466893"/>
    <n v="579.64599999999996"/>
    <x v="7"/>
    <s v="RM-M-D2"/>
    <s v="PALF"/>
    <s v="OAT"/>
    <s v="CONGO"/>
    <m/>
    <m/>
    <m/>
  </r>
  <r>
    <d v="2025-03-17T00:00:00"/>
    <s v="ABRAHAM - CONGO Ration du 17/03/2025 au 26/03/2025 à Dolisie (09 Nuitées) "/>
    <x v="0"/>
    <x v="5"/>
    <n v="90000"/>
    <n v="155.26718031350171"/>
    <n v="579.64599999999996"/>
    <x v="1"/>
    <s v="AB-M-D1"/>
    <s v="PALF"/>
    <s v="OAT"/>
    <s v="CONGO"/>
    <m/>
    <m/>
    <m/>
  </r>
  <r>
    <d v="2025-03-17T00:00:00"/>
    <s v="Ration  du  17/03/ au 05/04/2025 à Dolisie"/>
    <x v="0"/>
    <x v="1"/>
    <n v="190000"/>
    <n v="327.78626955072582"/>
    <n v="579.64599999999996"/>
    <x v="13"/>
    <s v="DR-M-D1"/>
    <s v="PALF"/>
    <s v="CHÊNE "/>
    <s v="CONGO"/>
    <m/>
    <m/>
    <m/>
  </r>
  <r>
    <d v="2025-03-17T00:00:00"/>
    <s v="EVARISTE - CONGO Ration du 17 au 26 mars 2025  à Dolisie/09 Nuitées"/>
    <x v="0"/>
    <x v="5"/>
    <n v="90000"/>
    <n v="155.26718031350171"/>
    <n v="579.64599999999996"/>
    <x v="9"/>
    <s v="EV-M-D1"/>
    <s v="PALF"/>
    <s v="OAT"/>
    <s v="CONGO"/>
    <m/>
    <m/>
    <m/>
  </r>
  <r>
    <d v="2025-03-18T00:00:00"/>
    <s v="T73 - CONGO Frais d'hotel du 15 au 18/03/2025 (03 nuitées ) à Ngo"/>
    <x v="0"/>
    <x v="3"/>
    <n v="45000"/>
    <n v="77.633590156750856"/>
    <n v="579.64599999999996"/>
    <x v="6"/>
    <s v="T73-M-R9"/>
    <s v="PALF"/>
    <s v="OAT"/>
    <s v="CONGO"/>
    <m/>
    <m/>
    <m/>
  </r>
  <r>
    <d v="2025-03-18T00:00:00"/>
    <s v="achat billet : Ngo - Brazzaville/T73"/>
    <x v="1"/>
    <x v="3"/>
    <n v="6000"/>
    <n v="10.351145354233447"/>
    <n v="579.64599999999996"/>
    <x v="6"/>
    <s v="T73-M-R10"/>
    <s v="PALF"/>
    <s v="OAT"/>
    <s v="CONGO"/>
    <m/>
    <m/>
    <m/>
  </r>
  <r>
    <d v="2025-03-18T00:00:00"/>
    <s v="IT87- CONGO Frais d'hôtel  du 16 au 18/03/2025 à Nkayi ( 02 nuitées)"/>
    <x v="0"/>
    <x v="3"/>
    <n v="30000"/>
    <n v="51.755726771167232"/>
    <n v="579.64599999999996"/>
    <x v="12"/>
    <s v="IT87-M-R4"/>
    <s v="PALF"/>
    <s v="CHÊNE "/>
    <s v="CONGO"/>
    <m/>
    <m/>
    <m/>
  </r>
  <r>
    <d v="2025-03-18T00:00:00"/>
    <s v="Achat billet Nkayi -Brazzaville/ IT87"/>
    <x v="1"/>
    <x v="3"/>
    <n v="7000"/>
    <n v="12.076336246605688"/>
    <n v="579.64599999999996"/>
    <x v="12"/>
    <s v="IT87-M-R5"/>
    <s v="PALF"/>
    <s v="CHÊNE "/>
    <s v="CONGO"/>
    <m/>
    <m/>
    <m/>
  </r>
  <r>
    <d v="2025-03-18T00:00:00"/>
    <s v="Achat billet Brazzaville-Owando/Roderlin"/>
    <x v="1"/>
    <x v="1"/>
    <n v="7000"/>
    <n v="12.076336246605688"/>
    <n v="579.64599999999996"/>
    <x v="8"/>
    <s v="RO-M-R1"/>
    <s v="PALF"/>
    <s v="CHÊNE "/>
    <s v="CONGO"/>
    <m/>
    <m/>
    <m/>
  </r>
  <r>
    <d v="2025-03-18T00:00:00"/>
    <s v="Frais de transport mission maitre Marie Helène à Owando du 19 au 22/03/2025 suivi audience cas EBI "/>
    <x v="1"/>
    <x v="1"/>
    <n v="21000"/>
    <n v="36.229008739817061"/>
    <n v="579.64599999999996"/>
    <x v="8"/>
    <s v="CA-M-R35"/>
    <s v="PALF"/>
    <s v="CHÊNE "/>
    <s v="CONGO"/>
    <m/>
    <m/>
    <m/>
  </r>
  <r>
    <d v="2025-03-18T00:00:00"/>
    <s v="Ration et Frais d'hôtel  mission maitre Marie Helène à Owando du 19 au 22/03/2025 suivi audience cas EBI "/>
    <x v="12"/>
    <x v="1"/>
    <n v="75000"/>
    <n v="129.38931692791809"/>
    <n v="579.64599999999996"/>
    <x v="8"/>
    <s v="CA-M-R36"/>
    <s v="PALF"/>
    <s v="CHÊNE "/>
    <s v="CONGO"/>
    <m/>
    <m/>
    <m/>
  </r>
  <r>
    <d v="2025-03-18T00:00:00"/>
    <s v="Frais de transport mission à Owando de maitre Alain du 19au 21/03/2025 suivi audience à Owando"/>
    <x v="1"/>
    <x v="1"/>
    <n v="21000"/>
    <n v="36.229008739817061"/>
    <n v="579.64599999999996"/>
    <x v="8"/>
    <s v="CA-M-R37"/>
    <s v="PALF"/>
    <s v="CHÊNE "/>
    <s v="CONGO"/>
    <m/>
    <m/>
    <m/>
  </r>
  <r>
    <d v="2025-03-18T00:00:00"/>
    <s v="Ration et Frais d'hôtel mission à Owando de maitre Alain du 19 au 21/03/2025 suivi audience à Owando "/>
    <x v="12"/>
    <x v="1"/>
    <n v="50000"/>
    <n v="86.259544618612054"/>
    <n v="579.64599999999996"/>
    <x v="8"/>
    <s v="CA-M-R38"/>
    <s v="PALF"/>
    <s v="CHÊNE "/>
    <s v="CONGO"/>
    <m/>
    <m/>
    <m/>
  </r>
  <r>
    <d v="2025-03-19T00:00:00"/>
    <s v="CREPIN - CONGO  Frais d'hôtel à Dolisie du 17 au 19/03/2025, 02 Nuitées"/>
    <x v="0"/>
    <x v="10"/>
    <n v="30000"/>
    <n v="51.755726771167232"/>
    <n v="579.64599999999996"/>
    <x v="0"/>
    <s v="CR-M-R5"/>
    <s v="PALF"/>
    <s v="CHÊNE "/>
    <s v="CONGO"/>
    <m/>
    <m/>
    <m/>
  </r>
  <r>
    <d v="2025-03-19T00:00:00"/>
    <s v="Frais de transfert d'argent à Crepin, Evariste, Abraham, Romain et Donald-Romeo"/>
    <x v="13"/>
    <x v="6"/>
    <n v="19830"/>
    <n v="34.210535395741545"/>
    <n v="579.64599999999996"/>
    <x v="3"/>
    <s v="CA-M-R39"/>
    <s v="PALF"/>
    <s v="CHÊNE "/>
    <s v="CONGO"/>
    <m/>
    <m/>
    <m/>
  </r>
  <r>
    <d v="2025-03-19T00:00:00"/>
    <s v="Achat 05 Cartouche d'encre  HP Laser noire et couleur 216A"/>
    <x v="6"/>
    <x v="6"/>
    <n v="300000"/>
    <n v="517.55726771167235"/>
    <n v="579.64599999999996"/>
    <x v="3"/>
    <s v="CA-M-R40"/>
    <s v="PALF"/>
    <s v="CHÊNE "/>
    <s v="CONGO"/>
    <m/>
    <m/>
    <m/>
  </r>
  <r>
    <d v="2025-03-19T00:00:00"/>
    <s v="P29 -CONGO Frais d'hotel du 11 au 19/03/2025 à Dolisie (08 Nuitées)"/>
    <x v="0"/>
    <x v="3"/>
    <n v="120000"/>
    <n v="207.02290708466893"/>
    <n v="579.64599999999996"/>
    <x v="11"/>
    <s v="P29-M-R2"/>
    <s v="PALF"/>
    <s v="CHÊNE "/>
    <s v="CONGO"/>
    <m/>
    <m/>
    <m/>
  </r>
  <r>
    <d v="2025-03-19T00:00:00"/>
    <s v="Achat sim/T73"/>
    <x v="17"/>
    <x v="3"/>
    <n v="10000"/>
    <n v="17.251908923722411"/>
    <n v="579.64599999999996"/>
    <x v="6"/>
    <s v="T73-M-R11"/>
    <s v="PALF"/>
    <s v="CHÊNE "/>
    <s v="CONGO"/>
    <m/>
    <m/>
    <m/>
  </r>
  <r>
    <d v="2025-03-19T00:00:00"/>
    <s v="RODERLIN-CONGO Ration du 19 au 22/03/2025 à Owando (03 nuitées)"/>
    <x v="0"/>
    <x v="1"/>
    <n v="30000"/>
    <n v="51.755726771167232"/>
    <n v="579.64599999999996"/>
    <x v="8"/>
    <s v="RO-M-D1"/>
    <s v="PALF"/>
    <s v="CHÊNE "/>
    <s v="CONGO"/>
    <m/>
    <m/>
    <m/>
  </r>
  <r>
    <d v="2025-03-20T00:00:00"/>
    <s v="Fonds envoyés à un informateur"/>
    <x v="11"/>
    <x v="3"/>
    <n v="31000"/>
    <n v="53.480917663539472"/>
    <n v="579.64599999999996"/>
    <x v="5"/>
    <s v="DH-M-R3"/>
    <s v="PALF"/>
    <s v="CHÊNE "/>
    <s v="CONGO"/>
    <m/>
    <m/>
    <m/>
  </r>
  <r>
    <d v="2025-03-20T00:00:00"/>
    <s v="Frais de transfert d'argent par western union à l'informateur"/>
    <x v="13"/>
    <x v="6"/>
    <n v="2017"/>
    <n v="3.4797100299148105"/>
    <n v="579.64599999999996"/>
    <x v="5"/>
    <s v="DH-M-R4"/>
    <s v="PALF"/>
    <s v="CHÊNE "/>
    <s v="CONGO"/>
    <m/>
    <m/>
    <m/>
  </r>
  <r>
    <d v="2025-03-20T00:00:00"/>
    <s v="Achat billet Brazzaville - Mouyondzi/ IT87"/>
    <x v="1"/>
    <x v="3"/>
    <n v="6000"/>
    <n v="10.351145354233447"/>
    <n v="579.64599999999996"/>
    <x v="12"/>
    <s v="IT87-M-R6"/>
    <s v="PALF"/>
    <s v="CHÊNE "/>
    <s v="CONGO"/>
    <m/>
    <m/>
    <m/>
  </r>
  <r>
    <d v="2025-03-20T00:00:00"/>
    <s v="Frais de transfert d'argent à P29 et G12"/>
    <x v="13"/>
    <x v="6"/>
    <n v="6320"/>
    <n v="10.903206439792564"/>
    <n v="579.64599999999996"/>
    <x v="10"/>
    <s v="CA-M-R41"/>
    <s v="PALF"/>
    <s v="CHÊNE "/>
    <s v="CONGO"/>
    <m/>
    <m/>
    <m/>
  </r>
  <r>
    <d v="2025-03-21T00:00:00"/>
    <s v="Frais de transfert d'argent à Crepin, Evariste, Abraham, Romain et Donald-Romeo"/>
    <x v="13"/>
    <x v="6"/>
    <n v="14640"/>
    <n v="25.256794664329611"/>
    <n v="579.64599999999996"/>
    <x v="3"/>
    <s v="CA-M-R42"/>
    <s v="PALF"/>
    <s v="CHÊNE "/>
    <s v="CONGO"/>
    <m/>
    <m/>
    <m/>
  </r>
  <r>
    <d v="2025-03-21T00:00:00"/>
    <s v="T73 - CONGO Rattion  du 21 au 28/03/2025 à Pointe-Noire,Moukondo,Banda  (07nuitées)"/>
    <x v="0"/>
    <x v="3"/>
    <n v="70000"/>
    <n v="120.76336246605688"/>
    <n v="579.64599999999996"/>
    <x v="6"/>
    <s v="T73-M-D2"/>
    <s v="PALF"/>
    <s v="CHÊNE "/>
    <s v="CONGO"/>
    <m/>
    <m/>
    <m/>
  </r>
  <r>
    <d v="2025-03-21T00:00:00"/>
    <s v="achat billet  Bazzaville - Pointe noire/T73"/>
    <x v="1"/>
    <x v="3"/>
    <n v="9000"/>
    <n v="15.526718031350169"/>
    <n v="579.64599999999996"/>
    <x v="6"/>
    <s v="T73-M-R12"/>
    <s v="PALF"/>
    <s v="CHÊNE "/>
    <s v="CONGO"/>
    <m/>
    <m/>
    <m/>
  </r>
  <r>
    <d v="2025-03-21T00:00:00"/>
    <s v="IT87 - CONGO Ration  du 21 au 28/03/2025 à Mouyonzi et Bouansa "/>
    <x v="0"/>
    <x v="3"/>
    <n v="70000"/>
    <n v="120.76336246605688"/>
    <n v="579.64599999999996"/>
    <x v="12"/>
    <s v="IT87-M-D2"/>
    <s v="PALF"/>
    <s v="CHÊNE "/>
    <s v="CONGO"/>
    <m/>
    <m/>
    <m/>
  </r>
  <r>
    <d v="2025-03-21T00:00:00"/>
    <s v="Achat billet Owando- Brazzaville /Roderlin"/>
    <x v="1"/>
    <x v="1"/>
    <n v="7000"/>
    <n v="12.076336246605688"/>
    <n v="579.64599999999996"/>
    <x v="8"/>
    <s v="RO-M-R2"/>
    <s v="PALF"/>
    <s v="CHÊNE "/>
    <s v="CONGO"/>
    <m/>
    <m/>
    <m/>
  </r>
  <r>
    <d v="2025-03-22T00:00:00"/>
    <s v="Raffraichissement et plats pendant l'attente de l'opération"/>
    <x v="0"/>
    <x v="10"/>
    <n v="11800"/>
    <n v="20.357252529992444"/>
    <n v="579.64599999999996"/>
    <x v="0"/>
    <s v="CR-M-R6"/>
    <s v="PALF"/>
    <s v="CHÊNE "/>
    <s v="CONGO"/>
    <m/>
    <m/>
    <m/>
  </r>
  <r>
    <d v="2025-03-22T00:00:00"/>
    <s v="Cumul frait de trust building du mois de Mars 2025/P29"/>
    <x v="11"/>
    <x v="3"/>
    <n v="90100"/>
    <n v="155.43969940273894"/>
    <n v="579.64599999999996"/>
    <x v="11"/>
    <s v="P29-M-D2"/>
    <s v="PALF"/>
    <s v="CHÊNE "/>
    <s v="CONGO"/>
    <m/>
    <m/>
    <m/>
  </r>
  <r>
    <d v="2025-03-22T00:00:00"/>
    <s v="Location vehicule 1 pour extraction  de BS à l'aeroport/P29"/>
    <x v="1"/>
    <x v="3"/>
    <n v="15000"/>
    <n v="25.877863385583616"/>
    <n v="579.64599999999996"/>
    <x v="11"/>
    <s v="P29-M-R3"/>
    <s v="PALF"/>
    <s v="CHÊNE "/>
    <s v="CONGO"/>
    <m/>
    <m/>
    <m/>
  </r>
  <r>
    <d v="2025-03-22T00:00:00"/>
    <s v="Location vehicule 2 pour extraction  de  l'aeroport à tsila/P29"/>
    <x v="1"/>
    <x v="3"/>
    <n v="15000"/>
    <n v="25.877863385583616"/>
    <n v="579.64599999999996"/>
    <x v="11"/>
    <s v="P29-M-R4"/>
    <s v="PALF"/>
    <s v="CHÊNE "/>
    <s v="CONGO"/>
    <m/>
    <m/>
    <m/>
  </r>
  <r>
    <d v="2025-03-22T00:00:00"/>
    <s v="Location véhicule pour extraction Dolisie-Madingou/P29"/>
    <x v="1"/>
    <x v="3"/>
    <n v="50000"/>
    <n v="86.259544618612054"/>
    <n v="579.64599999999996"/>
    <x v="11"/>
    <s v="P29-M-R5"/>
    <s v="PALF"/>
    <s v="CHÊNE "/>
    <s v="CONGO"/>
    <m/>
    <m/>
    <m/>
  </r>
  <r>
    <d v="2025-03-22T00:00:00"/>
    <s v="Achat billet madingou-brazzaville/P29"/>
    <x v="1"/>
    <x v="3"/>
    <n v="7000"/>
    <n v="12.076336246605688"/>
    <n v="579.64599999999996"/>
    <x v="11"/>
    <s v="P29-M-R6"/>
    <s v="PALF"/>
    <s v="CHÊNE "/>
    <s v="CONGO"/>
    <m/>
    <m/>
    <m/>
  </r>
  <r>
    <d v="2025-03-22T00:00:00"/>
    <s v="G12 - CONGO Frais d'hotel du 07 au 22/03/2025 à Dolisie (15 Nuitées) "/>
    <x v="0"/>
    <x v="3"/>
    <n v="225000"/>
    <n v="388.16795078375424"/>
    <n v="579.64599999999996"/>
    <x v="10"/>
    <s v="G12-M-R2"/>
    <s v="PALF"/>
    <s v="CHÊNE "/>
    <s v="CONGO"/>
    <m/>
    <m/>
    <m/>
  </r>
  <r>
    <d v="2025-03-22T00:00:00"/>
    <s v="Achat billet Madingou - brazzaville/G12"/>
    <x v="1"/>
    <x v="3"/>
    <n v="7000"/>
    <n v="12.076336246605688"/>
    <n v="579.64599999999996"/>
    <x v="10"/>
    <s v="G12-M-R3"/>
    <s v="PALF"/>
    <s v="CHÊNE "/>
    <s v="CONGO"/>
    <m/>
    <m/>
    <m/>
  </r>
  <r>
    <d v="2025-03-22T00:00:00"/>
    <s v="Rafraichissement en attente opération "/>
    <x v="0"/>
    <x v="5"/>
    <n v="9600"/>
    <n v="16.561832566773514"/>
    <n v="579.64599999999996"/>
    <x v="7"/>
    <s v="RM-M-R3"/>
    <s v="PALF"/>
    <s v="CHÊNE "/>
    <s v="CONGO"/>
    <m/>
    <m/>
    <m/>
  </r>
  <r>
    <d v="2025-03-22T00:00:00"/>
    <s v="Rafraîchissement attente OP"/>
    <x v="0"/>
    <x v="5"/>
    <n v="8900"/>
    <n v="15.354198942112946"/>
    <n v="579.64599999999996"/>
    <x v="1"/>
    <s v="AB-M-R4"/>
    <s v="PALF"/>
    <s v="CHÊNE "/>
    <s v="CONGO"/>
    <m/>
    <m/>
    <m/>
  </r>
  <r>
    <d v="2025-03-22T00:00:00"/>
    <s v="RODERLIN-CONGO frais d'hôtel du 19 au 22/03/2025 à Owando (03 nuitées)"/>
    <x v="0"/>
    <x v="1"/>
    <n v="45000"/>
    <n v="77.633590156750856"/>
    <n v="579.64599999999996"/>
    <x v="8"/>
    <s v="RO-M-R3"/>
    <s v="PALF"/>
    <s v="OAT"/>
    <s v="CONGO"/>
    <m/>
    <m/>
    <m/>
  </r>
  <r>
    <d v="2025-03-22T00:00:00"/>
    <s v="Achat carburant BJ OP"/>
    <x v="16"/>
    <x v="5"/>
    <n v="25000"/>
    <n v="43.129772309306027"/>
    <n v="579.64599999999996"/>
    <x v="13"/>
    <s v="DR-M-R2"/>
    <s v="PALF"/>
    <s v="OAT"/>
    <s v="CONGO"/>
    <m/>
    <m/>
    <m/>
  </r>
  <r>
    <d v="2025-03-22T00:00:00"/>
    <s v="Raffraichissement OP  à Owando/10  gendarmes et moi"/>
    <x v="0"/>
    <x v="1"/>
    <n v="19200"/>
    <n v="33.123665133547028"/>
    <n v="579.64599999999996"/>
    <x v="13"/>
    <s v="DR-M-R3"/>
    <s v="PALF"/>
    <s v="OAT"/>
    <s v="CONGO"/>
    <m/>
    <m/>
    <m/>
  </r>
  <r>
    <d v="2025-03-22T00:00:00"/>
    <s v="Rafraichissement de mon équipe lors de l'opération"/>
    <x v="0"/>
    <x v="5"/>
    <n v="9600"/>
    <n v="16.561832566773514"/>
    <n v="579.64599999999996"/>
    <x v="9"/>
    <s v="EV-M-R2"/>
    <s v="PALF"/>
    <s v="OAT"/>
    <s v="CONGO"/>
    <m/>
    <m/>
    <m/>
  </r>
  <r>
    <d v="2025-03-23T00:00:00"/>
    <s v="P29 -CONGO Frais d'hotel du 19 au 23/03/2025 à Dolisie lieu op(P29) (04 Nuitées)"/>
    <x v="0"/>
    <x v="5"/>
    <n v="140000"/>
    <n v="241.52672493211375"/>
    <n v="579.64599999999996"/>
    <x v="11"/>
    <s v="P29-M-R7"/>
    <s v="PALF"/>
    <s v="OAT"/>
    <s v="CONGO"/>
    <m/>
    <m/>
    <m/>
  </r>
  <r>
    <d v="2025-03-23T00:00:00"/>
    <s v="P29 -CONGO Frais d'hotel du 19 au 23/03/2025 à Dolisie lieu op(Crépin) (04 Nuitées)"/>
    <x v="0"/>
    <x v="5"/>
    <n v="140000"/>
    <n v="241.52672493211375"/>
    <n v="579.64599999999996"/>
    <x v="11"/>
    <s v="P29-M-R8"/>
    <s v="PALF"/>
    <s v="OAT"/>
    <s v="CONGO"/>
    <m/>
    <m/>
    <m/>
  </r>
  <r>
    <d v="2025-03-24T00:00:00"/>
    <s v="Bonus de 18 gendarmes pour l'opération du 22/03/2025 à Dolisie"/>
    <x v="4"/>
    <x v="10"/>
    <n v="180000"/>
    <n v="310.53436062700342"/>
    <n v="579.64599999999996"/>
    <x v="0"/>
    <s v="CR-M-R7"/>
    <s v="PALF"/>
    <s v="CHÊNE "/>
    <s v="CONGO"/>
    <m/>
    <m/>
    <m/>
  </r>
  <r>
    <d v="2025-03-24T00:00:00"/>
    <s v="Bonus de 02 EF pour l'opération du 22/03/2025 à Dolisie"/>
    <x v="4"/>
    <x v="10"/>
    <n v="20000"/>
    <n v="34.503817847444822"/>
    <n v="579.64599999999996"/>
    <x v="0"/>
    <s v="CR-M-R8"/>
    <s v="PALF"/>
    <s v="OAT"/>
    <s v="CONGO"/>
    <m/>
    <m/>
    <m/>
  </r>
  <r>
    <d v="2025-03-24T00:00:00"/>
    <s v="Frais de transfert d'argent  à crepin et IT87"/>
    <x v="13"/>
    <x v="6"/>
    <n v="7780"/>
    <n v="13.431137796913601"/>
    <n v="579.25099999999998"/>
    <x v="3"/>
    <s v="CA-M-R44"/>
    <s v="PALF"/>
    <s v="OAK"/>
    <s v="CONGO"/>
    <m/>
    <m/>
    <m/>
  </r>
  <r>
    <d v="2025-03-24T00:00:00"/>
    <s v="Frais de transfert d'argent à  T73 par  momo"/>
    <x v="13"/>
    <x v="6"/>
    <n v="6300"/>
    <n v="10.87611415431307"/>
    <n v="579.25099999999998"/>
    <x v="3"/>
    <s v="CA-M-R45"/>
    <s v="PALF"/>
    <s v="OAK"/>
    <s v="CONGO"/>
    <m/>
    <m/>
    <m/>
  </r>
  <r>
    <d v="2025-03-24T00:00:00"/>
    <s v="Frais de transport mission à Dolisie de maitre BANZOUZI Alain du 25/03/ au 05/04/2025 suivi audience"/>
    <x v="1"/>
    <x v="1"/>
    <n v="42000"/>
    <n v="72.458017479634123"/>
    <n v="579.64599999999996"/>
    <x v="3"/>
    <s v="CA-M-R46"/>
    <s v="PALF"/>
    <s v="OAT"/>
    <s v="CONGO"/>
    <m/>
    <m/>
    <m/>
  </r>
  <r>
    <d v="2025-03-24T00:00:00"/>
    <s v="P29 -CONGO Frais d'hotel du 22 au 24/03/2025 à Madingou (02 Nuitées)"/>
    <x v="0"/>
    <x v="3"/>
    <n v="30000"/>
    <n v="51.755726771167232"/>
    <n v="579.64599999999996"/>
    <x v="11"/>
    <s v="P29-M-R9"/>
    <s v="PALF"/>
    <s v="OAT"/>
    <s v="CONGO"/>
    <m/>
    <m/>
    <m/>
  </r>
  <r>
    <d v="2025-03-24T00:00:00"/>
    <s v="Cumul frait de transport du mois de Mars 2025/P29"/>
    <x v="1"/>
    <x v="3"/>
    <n v="68000"/>
    <n v="117.3129806813124"/>
    <n v="579.64599999999996"/>
    <x v="11"/>
    <s v="P29-M-D3"/>
    <s v="PALF"/>
    <s v="OAT"/>
    <s v="CONGO"/>
    <m/>
    <m/>
    <m/>
  </r>
  <r>
    <d v="2025-03-24T00:00:00"/>
    <s v="achat billet Pointe Noire - Moukondo/T73"/>
    <x v="1"/>
    <x v="3"/>
    <n v="5000"/>
    <n v="8.6259544618612054"/>
    <n v="579.64599999999996"/>
    <x v="6"/>
    <s v="T73-M-R13"/>
    <s v="PALF"/>
    <s v="OAT"/>
    <s v="CONGO"/>
    <m/>
    <m/>
    <m/>
  </r>
  <r>
    <d v="2025-03-24T00:00:00"/>
    <s v="T73 - CONGO Frais d'hotel du 21 au 24/03/2025 (03 nuitées ) à Pointe noire"/>
    <x v="0"/>
    <x v="3"/>
    <n v="45000"/>
    <n v="77.633590156750856"/>
    <n v="579.64599999999996"/>
    <x v="6"/>
    <s v="T73-M-R14"/>
    <s v="PALF"/>
    <s v="OAT"/>
    <s v="CONGO"/>
    <m/>
    <m/>
    <m/>
  </r>
  <r>
    <d v="2025-03-24T00:00:00"/>
    <s v="G12 - CONGO Frais d'hotel du 22 au 24/03/2025 à Madingou (02 Nuitées)"/>
    <x v="0"/>
    <x v="3"/>
    <n v="30000"/>
    <n v="51.755726771167232"/>
    <n v="579.64599999999996"/>
    <x v="10"/>
    <s v="G12-M-R4"/>
    <s v="PALF"/>
    <s v="OAT"/>
    <s v="CONGO"/>
    <m/>
    <m/>
    <m/>
  </r>
  <r>
    <d v="2025-03-24T00:00:00"/>
    <s v="Achat produit d'entretien  et Main d'œuvre du groupe électrogène/Bureau PALF"/>
    <x v="6"/>
    <x v="6"/>
    <n v="101000"/>
    <n v="174.24428012959635"/>
    <n v="579.64599999999996"/>
    <x v="8"/>
    <s v="CA-M-R43"/>
    <s v="PALF"/>
    <s v="OAT"/>
    <s v="CONGO"/>
    <m/>
    <m/>
    <m/>
  </r>
  <r>
    <d v="2025-03-24T00:00:00"/>
    <s v="Ration et frais d'hotel mission à Dolisie de maitre BANZOUZI Alain du 25/03/ au 05/04/2025 suivi audience "/>
    <x v="12"/>
    <x v="1"/>
    <n v="275000"/>
    <n v="474.42749540236633"/>
    <n v="579.64599999999996"/>
    <x v="8"/>
    <s v="CA-M-R47"/>
    <s v="PALF"/>
    <s v="CHÊNE "/>
    <s v="CONGO"/>
    <m/>
    <m/>
    <m/>
  </r>
  <r>
    <d v="2025-03-25T00:00:00"/>
    <s v="achat billet Moukondo - Banda/T73"/>
    <x v="1"/>
    <x v="3"/>
    <n v="15000"/>
    <n v="25.877863385583616"/>
    <n v="579.64599999999996"/>
    <x v="6"/>
    <s v="T73-M-R15"/>
    <s v="PALF"/>
    <s v="OAT"/>
    <s v="CONGO"/>
    <m/>
    <m/>
    <m/>
  </r>
  <r>
    <d v="2025-03-25T00:00:00"/>
    <s v="T73 - CONGO Frais d'hotel du 24 au 25/03/2025 (01nuitées) à Moukondo"/>
    <x v="0"/>
    <x v="3"/>
    <n v="15000"/>
    <n v="25.877863385583616"/>
    <n v="579.64599999999996"/>
    <x v="6"/>
    <s v="T73-M-R16"/>
    <s v="PALF"/>
    <s v="OAT"/>
    <s v="CONGO"/>
    <m/>
    <m/>
    <m/>
  </r>
  <r>
    <d v="2025-03-25T00:00:00"/>
    <s v="achat carte sim "/>
    <x v="18"/>
    <x v="3"/>
    <n v="10000"/>
    <n v="17.251908923722411"/>
    <n v="579.64599999999996"/>
    <x v="10"/>
    <s v="G12-M-R5"/>
    <s v="PALF"/>
    <s v="OAT"/>
    <s v="CONGO"/>
    <m/>
    <m/>
    <m/>
  </r>
  <r>
    <d v="2025-03-25T00:00:00"/>
    <s v="Frais de transfert d'argent à Crepin, Evariste, Abraham, Romain et Donald-Romeo"/>
    <x v="13"/>
    <x v="6"/>
    <n v="11820"/>
    <n v="20.391756347839891"/>
    <n v="579.64599999999996"/>
    <x v="10"/>
    <s v="CA-M-R48"/>
    <s v="PALF"/>
    <s v="OAT"/>
    <s v="CONGO"/>
    <m/>
    <m/>
    <m/>
  </r>
  <r>
    <d v="2025-03-26T00:00:00"/>
    <s v="Achat billet Dolisie-Brazzaville/Abraham"/>
    <x v="1"/>
    <x v="1"/>
    <n v="10000"/>
    <n v="17.251908923722411"/>
    <n v="579.64599999999996"/>
    <x v="1"/>
    <s v="AB-M-R5"/>
    <s v="PALF"/>
    <s v="OAT"/>
    <s v="CONGO"/>
    <m/>
    <m/>
    <m/>
  </r>
  <r>
    <d v="2025-03-25T00:00:00"/>
    <s v="Cumul frais de Jails visits du mois de Mars 2025/Abraham"/>
    <x v="19"/>
    <x v="1"/>
    <n v="14000"/>
    <n v="24.152672493211377"/>
    <n v="579.64599999999996"/>
    <x v="1"/>
    <s v="AB-M-D2"/>
    <s v="PALF"/>
    <s v="OAT"/>
    <s v="CONGO"/>
    <m/>
    <m/>
    <m/>
  </r>
  <r>
    <d v="2025-03-24T00:00:00"/>
    <s v="ABRAHAM - CONGO frais d'Hôtel (Hôtel La Gloire) du 17/03/2025 au 26/03/2025 Dolisie (09Nuitées)"/>
    <x v="0"/>
    <x v="1"/>
    <n v="135000"/>
    <n v="232.90077047025255"/>
    <n v="579.64599999999996"/>
    <x v="1"/>
    <s v="AB-M-R6"/>
    <s v="PALF"/>
    <s v="CHÊNE "/>
    <s v="CONGO"/>
    <m/>
    <m/>
    <m/>
  </r>
  <r>
    <d v="2025-03-25T00:00:00"/>
    <s v="Achat carburant groupe electrogène Bureau"/>
    <x v="6"/>
    <x v="6"/>
    <n v="25000"/>
    <n v="43.129772309306027"/>
    <n v="579.64599999999996"/>
    <x v="8"/>
    <s v="CA-M-R49"/>
    <s v="PALF"/>
    <s v="CHÊNE "/>
    <s v="CONGO"/>
    <m/>
    <m/>
    <m/>
  </r>
  <r>
    <d v="2025-03-25T00:00:00"/>
    <s v="Paiement salaire du mois de Mars 2025/Homéfa DOVI/3654835"/>
    <x v="5"/>
    <x v="2"/>
    <n v="1311000"/>
    <n v="2261.725259900008"/>
    <n v="579.64599999999996"/>
    <x v="4"/>
    <s v="BQ-M-R23"/>
    <s v="PALF"/>
    <s v="CHÊNE "/>
    <s v="CONGO"/>
    <m/>
    <m/>
    <m/>
  </r>
  <r>
    <d v="2025-03-25T00:00:00"/>
    <s v="Paiement salaire du mois de Mars 2025/BAVOUMINA NZOUSSI Dina Parfaite/365831"/>
    <x v="5"/>
    <x v="6"/>
    <n v="230000"/>
    <n v="396.79390524561546"/>
    <n v="579.64599999999996"/>
    <x v="4"/>
    <s v="BQ-M-R24"/>
    <s v="PALF"/>
    <s v="CHÊNE "/>
    <s v="CONGO"/>
    <m/>
    <m/>
    <m/>
  </r>
  <r>
    <d v="2025-03-25T00:00:00"/>
    <s v="Paiement salaire du mois de Mars 2025/FOUMBA Roderlin/3654825"/>
    <x v="5"/>
    <x v="1"/>
    <n v="200000"/>
    <n v="345.03817847444822"/>
    <n v="579.64599999999996"/>
    <x v="4"/>
    <s v="BQ-M-R25"/>
    <s v="PALF"/>
    <s v="CHÊNE "/>
    <s v="CONGO"/>
    <m/>
    <m/>
    <m/>
  </r>
  <r>
    <d v="2025-03-25T00:00:00"/>
    <s v="Paiement salaire du mois de Mars 2025/BOUNGOU MAKOSSO Abraham/3654824"/>
    <x v="5"/>
    <x v="1"/>
    <n v="200000"/>
    <n v="345.03817847444822"/>
    <n v="579.64599999999996"/>
    <x v="4"/>
    <s v="BQ-M-R26"/>
    <s v="PALF"/>
    <s v="CHÊNE "/>
    <s v="CONGO"/>
    <m/>
    <m/>
    <m/>
  </r>
  <r>
    <d v="2025-03-25T00:00:00"/>
    <s v="Paiement salaire du mois de Mars 2025/LOUNDOU JeanRomain/3654832"/>
    <x v="5"/>
    <x v="1"/>
    <n v="200000"/>
    <n v="345.03817847444822"/>
    <n v="579.64599999999996"/>
    <x v="4"/>
    <s v="BQ-M-R27"/>
    <s v="PALF"/>
    <s v="CHÊNE "/>
    <s v="CONGO"/>
    <m/>
    <m/>
    <m/>
  </r>
  <r>
    <d v="2025-03-25T00:00:00"/>
    <s v="Paiement salaire du mois de Mars 2025/Crepin IBOUILI-IBOUILI"/>
    <x v="5"/>
    <x v="1"/>
    <n v="551482"/>
    <n v="951.41172370722825"/>
    <n v="579.64599999999996"/>
    <x v="4"/>
    <s v="BQ-M-R28"/>
    <s v="PALF"/>
    <s v="CHÊNE "/>
    <s v="CONGO"/>
    <m/>
    <m/>
    <m/>
  </r>
  <r>
    <d v="2025-03-25T00:00:00"/>
    <s v="Paiement salaire du mois de Mars 2025/Evariste LELOUSSI"/>
    <x v="5"/>
    <x v="4"/>
    <n v="238140"/>
    <n v="410.83695910952548"/>
    <n v="579.64599999999996"/>
    <x v="4"/>
    <s v="BQ-M-R29"/>
    <s v="PALF"/>
    <s v="CHÊNE "/>
    <s v="CONGO"/>
    <m/>
    <m/>
    <m/>
  </r>
  <r>
    <d v="2025-03-25T00:00:00"/>
    <s v="Paiement salaire du mois de Mars 2025/PINDI BINGA Donald- Roméo"/>
    <x v="5"/>
    <x v="1"/>
    <n v="193548"/>
    <n v="333.9072468368625"/>
    <n v="579.64599999999996"/>
    <x v="4"/>
    <s v="BQ-M-R30"/>
    <s v="PALF"/>
    <s v="CHÊNE "/>
    <s v="CONGO"/>
    <m/>
    <m/>
    <m/>
  </r>
  <r>
    <d v="2025-03-26T00:00:00"/>
    <s v="Reglement prestation de nettoyage jardin PALF du mois de Février 2025"/>
    <x v="8"/>
    <x v="6"/>
    <n v="20000"/>
    <n v="34.503817847444822"/>
    <n v="579.64599999999996"/>
    <x v="3"/>
    <s v="CA-M-R50"/>
    <s v="PALF"/>
    <s v="CHÊNE "/>
    <s v="CONGO"/>
    <m/>
    <m/>
    <m/>
  </r>
  <r>
    <d v="2025-03-26T00:00:00"/>
    <s v="IT87 - CONGO Frais d'hôtel  du 21 au 26/03/2025 à Mouyondzi (05 nuitées)"/>
    <x v="0"/>
    <x v="3"/>
    <n v="75000"/>
    <n v="129.38931692791809"/>
    <n v="579.64599999999996"/>
    <x v="12"/>
    <s v="IT87-M-R7"/>
    <s v="PALF"/>
    <s v="CHÊNE "/>
    <s v="CONGO"/>
    <m/>
    <m/>
    <m/>
  </r>
  <r>
    <d v="2025-03-26T00:00:00"/>
    <s v="Achat billet Mouyondzi - Bouansa/ IT87"/>
    <x v="1"/>
    <x v="3"/>
    <n v="3000"/>
    <n v="5.1755726771167234"/>
    <n v="579.64599999999996"/>
    <x v="12"/>
    <s v="IT87-M-R8"/>
    <s v="PALF"/>
    <s v="OAT"/>
    <s v="CONGO"/>
    <m/>
    <m/>
    <m/>
  </r>
  <r>
    <d v="2025-03-26T00:00:00"/>
    <s v="EVARISTE - CONGO Frais de l'hôtel du 17 au 26 mars 2025 à Dolisie (09 Nuitées)"/>
    <x v="0"/>
    <x v="5"/>
    <n v="135000"/>
    <n v="232.90077047025255"/>
    <n v="579.64599999999996"/>
    <x v="9"/>
    <s v="EV-M-R3"/>
    <s v="PALF"/>
    <s v="OAT"/>
    <s v="CONGO"/>
    <m/>
    <m/>
    <m/>
  </r>
  <r>
    <d v="2025-03-26T00:00:00"/>
    <s v="Achat Billet  Dolisie-Brazzaville/Evariste"/>
    <x v="1"/>
    <x v="5"/>
    <n v="10000"/>
    <n v="17.251908923722411"/>
    <n v="579.64599999999996"/>
    <x v="9"/>
    <s v="EV-M-R4"/>
    <s v="PALF"/>
    <s v="OAT"/>
    <s v="CONGO"/>
    <m/>
    <m/>
    <m/>
  </r>
  <r>
    <d v="2025-03-26T00:00:00"/>
    <s v="Bonus media portant sur l'interpellation de 2 Présumés trafiquants le 22/03/205 à Dolisie"/>
    <x v="14"/>
    <x v="4"/>
    <n v="200000"/>
    <n v="345.03817847444822"/>
    <n v="579.64599999999996"/>
    <x v="9"/>
    <s v="CA-M-D14"/>
    <s v="PALF"/>
    <s v="CHÊNE "/>
    <s v="CONGO"/>
    <m/>
    <m/>
    <m/>
  </r>
  <r>
    <d v="2025-03-26T00:00:00"/>
    <s v="Frais de virement salaire du mois de Mars 2025"/>
    <x v="9"/>
    <x v="6"/>
    <n v="52635"/>
    <n v="90.805422620012905"/>
    <n v="579.64599999999996"/>
    <x v="4"/>
    <s v="BQ-M-R32"/>
    <s v="PALF"/>
    <s v="OAT"/>
    <s v="CONGO"/>
    <m/>
    <m/>
    <m/>
  </r>
  <r>
    <d v="2025-03-27T00:00:00"/>
    <s v="T73 - CONGO Frais d'hotel du 25 au 27/03/20225 (02 nuitées) à Banda"/>
    <x v="0"/>
    <x v="3"/>
    <n v="30000"/>
    <n v="51.755726771167232"/>
    <n v="579.64599999999996"/>
    <x v="6"/>
    <s v="T73-M-R17"/>
    <s v="PALF"/>
    <s v="OAT"/>
    <s v="CONGO"/>
    <m/>
    <m/>
    <m/>
  </r>
  <r>
    <d v="2025-03-27T00:00:00"/>
    <s v="achat billet/T73 : Banda - Loudima/T73"/>
    <x v="1"/>
    <x v="3"/>
    <n v="15000"/>
    <n v="25.877863385583616"/>
    <n v="579.64599999999996"/>
    <x v="6"/>
    <s v="T73-M-R18"/>
    <s v="PALF"/>
    <s v="OAT"/>
    <s v="CONGO"/>
    <m/>
    <m/>
    <m/>
  </r>
  <r>
    <d v="2025-03-27T00:00:00"/>
    <s v="Cumul frais de trust building du mois de Mars 2025/T73"/>
    <x v="11"/>
    <x v="3"/>
    <n v="18000"/>
    <n v="31.053436062700339"/>
    <n v="579.64599999999996"/>
    <x v="6"/>
    <s v="T73-M-D3"/>
    <s v="PALF"/>
    <s v="OAT"/>
    <s v="CONGO"/>
    <m/>
    <m/>
    <m/>
  </r>
  <r>
    <d v="2025-03-27T00:00:00"/>
    <s v="Achat du Billet Dolisie-Sibiti/Romain"/>
    <x v="1"/>
    <x v="0"/>
    <n v="8000"/>
    <n v="13.80152713897793"/>
    <n v="579.64599999999996"/>
    <x v="7"/>
    <s v="RM-M-R4"/>
    <s v="PALF"/>
    <s v="OAT"/>
    <s v="CONGO"/>
    <m/>
    <m/>
    <m/>
  </r>
  <r>
    <d v="2025-03-27T00:00:00"/>
    <s v="Frais d'impression de la procédure de la gendarmerie"/>
    <x v="20"/>
    <x v="5"/>
    <n v="28400"/>
    <n v="48.995421343371646"/>
    <n v="579.64599999999996"/>
    <x v="13"/>
    <s v="DR-M-R4"/>
    <s v="PALF"/>
    <s v="OAT"/>
    <s v="CONGO"/>
    <m/>
    <m/>
    <m/>
  </r>
  <r>
    <d v="2025-03-28T00:00:00"/>
    <s v="ramassage Ordure du mois de Mars 2025/Bureau PALF"/>
    <x v="8"/>
    <x v="6"/>
    <n v="8000"/>
    <n v="13.80152713897793"/>
    <n v="579.64599999999996"/>
    <x v="3"/>
    <s v="CA-M-R51"/>
    <s v="PALF"/>
    <s v="OAT"/>
    <s v="CONGO"/>
    <m/>
    <m/>
    <m/>
  </r>
  <r>
    <d v="2025-03-28T00:00:00"/>
    <s v="Reglement prestation de nettoyage Bureau PALF du mois de Mars 2025"/>
    <x v="8"/>
    <x v="6"/>
    <n v="75625"/>
    <n v="130.46756123565072"/>
    <n v="579.64599999999996"/>
    <x v="3"/>
    <s v="CA-M-R53"/>
    <s v="PALF"/>
    <s v="OAT"/>
    <s v="CONGO"/>
    <m/>
    <m/>
    <m/>
  </r>
  <r>
    <d v="2025-03-28T00:00:00"/>
    <s v="T73 - CONGO Frais d'hotel du 24 au 25/03/2025 (01nuitées) à Loudima"/>
    <x v="0"/>
    <x v="3"/>
    <n v="15000"/>
    <n v="25.877863385583616"/>
    <n v="579.64599999999996"/>
    <x v="6"/>
    <s v="T73-M-R19"/>
    <s v="PALF"/>
    <s v="OAT"/>
    <s v="CONGO"/>
    <m/>
    <m/>
    <m/>
  </r>
  <r>
    <d v="2025-03-28T00:00:00"/>
    <s v="achat billet Loudima - Brazzaville/T73"/>
    <x v="1"/>
    <x v="3"/>
    <n v="7000"/>
    <n v="12.076336246605688"/>
    <n v="579.64599999999996"/>
    <x v="6"/>
    <s v="T73-M-R20"/>
    <s v="PALF"/>
    <s v="CHÊNE "/>
    <s v="CONGO"/>
    <m/>
    <m/>
    <m/>
  </r>
  <r>
    <d v="2025-03-28T00:00:00"/>
    <s v="IT87 - CONGO Frais d'hôtel du 26 au 28/03/2025 à Bouansa (02 nuitées)"/>
    <x v="0"/>
    <x v="3"/>
    <n v="30000"/>
    <n v="51.755726771167232"/>
    <n v="579.64599999999996"/>
    <x v="12"/>
    <s v="IT87-M-R9"/>
    <s v="PALF"/>
    <s v="CHÊNE "/>
    <s v="CONGO"/>
    <m/>
    <m/>
    <m/>
  </r>
  <r>
    <d v="2025-03-28T00:00:00"/>
    <s v="Achat billet Bouansa - Brazzaville/ IT87"/>
    <x v="1"/>
    <x v="3"/>
    <n v="7000"/>
    <n v="12.076336246605688"/>
    <n v="579.64599999999996"/>
    <x v="12"/>
    <s v="IT87-M-R10"/>
    <s v="PALF"/>
    <s v="CHÊNE "/>
    <s v="CONGO"/>
    <m/>
    <m/>
    <m/>
  </r>
  <r>
    <d v="2025-03-28T00:00:00"/>
    <s v="Cumul frais de Jails visists du mois de Mars 2025/Romain"/>
    <x v="21"/>
    <x v="0"/>
    <n v="41500"/>
    <n v="71.595422033448003"/>
    <n v="579.64599999999996"/>
    <x v="7"/>
    <s v="RM-M-D3"/>
    <s v="PALF"/>
    <s v="CHÊNE "/>
    <s v="CONGO"/>
    <m/>
    <m/>
    <m/>
  </r>
  <r>
    <d v="2025-03-28T00:00:00"/>
    <s v="Cumul frais de transport local du mois de Mars 2025/Abraham"/>
    <x v="1"/>
    <x v="1"/>
    <n v="35500"/>
    <n v="61.244276679214558"/>
    <n v="579.64599999999996"/>
    <x v="1"/>
    <s v="AB-M-D3"/>
    <s v="PALF"/>
    <s v="CHÊNE "/>
    <s v="CONGO"/>
    <m/>
    <m/>
    <m/>
  </r>
  <r>
    <d v="2025-03-28T00:00:00"/>
    <s v="Frais de transfert d'argent  à crepin et Donald-Roméo"/>
    <x v="13"/>
    <x v="6"/>
    <n v="8825"/>
    <n v="15.224809625185028"/>
    <n v="579.64599999999996"/>
    <x v="1"/>
    <s v="CA-M-R52"/>
    <s v="PALF"/>
    <s v="CHÊNE "/>
    <s v="CONGO"/>
    <m/>
    <m/>
    <m/>
  </r>
  <r>
    <d v="2025-03-28T00:00:00"/>
    <s v="Cumul frais de Jails visits du mois de Mars 2025/Donald-Romeo"/>
    <x v="21"/>
    <x v="1"/>
    <n v="4000"/>
    <n v="6.9007635694889649"/>
    <n v="579.64599999999996"/>
    <x v="13"/>
    <s v="DR-M-D2"/>
    <s v="PALF"/>
    <s v="CHÊNE "/>
    <s v="CONGO"/>
    <m/>
    <m/>
    <m/>
  </r>
  <r>
    <d v="2025-03-28T00:00:00"/>
    <s v="Cumul frais de transport local du mois de Mars  2025 /Evariste "/>
    <x v="1"/>
    <x v="4"/>
    <n v="43650"/>
    <n v="75.304582452048322"/>
    <n v="579.64599999999996"/>
    <x v="9"/>
    <s v="EV-M-D2"/>
    <s v="PALF"/>
    <s v="CHÊNE "/>
    <s v="CONGO"/>
    <m/>
    <m/>
    <m/>
  </r>
  <r>
    <d v="2025-03-28T00:00:00"/>
    <s v="Bonus media portant sur l'interpellation de 2 Présumés trafiquants le 22/03/205 à Dolisie"/>
    <x v="14"/>
    <x v="4"/>
    <n v="154000"/>
    <n v="265.67939742532513"/>
    <n v="579.64599999999996"/>
    <x v="9"/>
    <s v="CA-M-D15"/>
    <s v="PALF"/>
    <s v="CHÊNE "/>
    <s v="CONGO"/>
    <m/>
    <m/>
    <m/>
  </r>
  <r>
    <d v="2025-03-28T00:00:00"/>
    <s v="Reglement honoraire du mois de Mars 2025/P29/3654837"/>
    <x v="5"/>
    <x v="3"/>
    <n v="500000"/>
    <n v="862.59544618612051"/>
    <n v="579.64599999999996"/>
    <x v="4"/>
    <s v="BQ-M-R33"/>
    <s v="PALF"/>
    <s v="CHÊNE "/>
    <s v="CONGO"/>
    <m/>
    <m/>
    <m/>
  </r>
  <r>
    <d v="2025-03-28T00:00:00"/>
    <s v="Reglement honoraire du mois de Mars 2025/G12/3654833"/>
    <x v="5"/>
    <x v="3"/>
    <n v="375000"/>
    <n v="646.94658463959047"/>
    <n v="579.64599999999996"/>
    <x v="4"/>
    <s v="BQ-M-R34"/>
    <s v="PALF"/>
    <s v="CHÊNE "/>
    <s v="CONGO"/>
    <m/>
    <m/>
    <m/>
  </r>
  <r>
    <d v="2025-03-29T00:00:00"/>
    <s v="Bonus pour 12 Policiers ayant effectué le transferèment de Moussa Grâce de Mossendjo à Dolisie"/>
    <x v="4"/>
    <x v="10"/>
    <n v="120000"/>
    <n v="207.02290708466893"/>
    <n v="579.64599999999996"/>
    <x v="0"/>
    <s v="CR-M-R9"/>
    <s v="PALF"/>
    <s v="CHÊNE "/>
    <s v="CONGO"/>
    <m/>
    <m/>
    <m/>
  </r>
  <r>
    <d v="2025-03-29T00:00:00"/>
    <s v="Ration pour 12 policiers moyennant 5000 par policier ayant effectué le transferèment de Mossendjo à Dolisie"/>
    <x v="0"/>
    <x v="10"/>
    <n v="60000"/>
    <n v="103.51145354233446"/>
    <n v="579.64599999999996"/>
    <x v="0"/>
    <s v="CR-M-R10"/>
    <s v="PALF"/>
    <s v="CHÊNE "/>
    <s v="CONGO"/>
    <m/>
    <m/>
    <m/>
  </r>
  <r>
    <d v="2025-03-29T00:00:00"/>
    <s v="Carburant aller de la BJ Mossendjo-Dolisie pour le transferèment"/>
    <x v="1"/>
    <x v="10"/>
    <n v="46875"/>
    <n v="80.868323079948809"/>
    <n v="579.64599999999996"/>
    <x v="0"/>
    <s v="CR-M-R11"/>
    <s v="PALF"/>
    <s v="CHÊNE "/>
    <s v="CONGO"/>
    <m/>
    <m/>
    <m/>
  </r>
  <r>
    <d v="2025-03-29T00:00:00"/>
    <s v="Carburant retour de la BJ Dolisie-Mossendjo apès le transferèment"/>
    <x v="1"/>
    <x v="10"/>
    <n v="46875"/>
    <n v="80.923468410067485"/>
    <n v="579.25099999999998"/>
    <x v="0"/>
    <s v="CR-M-R12"/>
    <s v="PALF"/>
    <s v="OAK"/>
    <s v="CONGO"/>
    <m/>
    <m/>
    <m/>
  </r>
  <r>
    <d v="2025-03-29T00:00:00"/>
    <s v="Cumul frais de transport local du mois de Mars 2025/CREPIN"/>
    <x v="1"/>
    <x v="0"/>
    <n v="40000"/>
    <n v="69.054693043257586"/>
    <n v="579.25099999999998"/>
    <x v="0"/>
    <s v="CR-M-D3"/>
    <s v="PALF"/>
    <s v="OAK"/>
    <s v="CONGO"/>
    <m/>
    <m/>
    <m/>
  </r>
  <r>
    <d v="2025-03-29T00:00:00"/>
    <s v="Cumul frais de transport local du mois de Mars 2025/T73"/>
    <x v="1"/>
    <x v="3"/>
    <n v="83200"/>
    <n v="143.63376152997577"/>
    <n v="579.25099999999998"/>
    <x v="6"/>
    <s v="T73-M-D4"/>
    <s v="PALF"/>
    <s v="OAK"/>
    <s v="CONGO"/>
    <m/>
    <m/>
    <m/>
  </r>
  <r>
    <d v="2025-03-27T00:00:00"/>
    <s v="ROMAIN - CONGO Frais d'hotel du 17/03/ au 27/03/2025 à Dolisie (10 nuitées)"/>
    <x v="0"/>
    <x v="0"/>
    <n v="150000"/>
    <n v="258.95509891221593"/>
    <n v="579.25099999999998"/>
    <x v="7"/>
    <s v="RM-M-R5"/>
    <s v="PALF"/>
    <s v="OAK"/>
    <s v="CONGO"/>
    <m/>
    <m/>
    <m/>
  </r>
  <r>
    <d v="2025-03-29T00:00:00"/>
    <s v="ROMAIN - CONGO Frais d'hotel du 27/03/ au 29/03/2025 à Sibiti(02 nuitées)"/>
    <x v="0"/>
    <x v="0"/>
    <n v="30000"/>
    <n v="51.791019782443193"/>
    <n v="579.25099999999998"/>
    <x v="7"/>
    <s v="RM-M-R6"/>
    <s v="PALF"/>
    <s v="OAK"/>
    <s v="CONGO"/>
    <m/>
    <m/>
    <m/>
  </r>
  <r>
    <d v="2025-03-29T00:00:00"/>
    <s v="Billet SIBITI- Nkayi/Romain "/>
    <x v="1"/>
    <x v="0"/>
    <n v="6000"/>
    <n v="10.358203956488639"/>
    <n v="579.25099999999998"/>
    <x v="7"/>
    <s v="RM-M-R7"/>
    <s v="PALF"/>
    <s v="OAK"/>
    <s v="CONGO"/>
    <m/>
    <m/>
    <m/>
  </r>
  <r>
    <d v="2025-03-29T00:00:00"/>
    <s v="Billet Nkayi-Brazzaville/Romain"/>
    <x v="1"/>
    <x v="0"/>
    <n v="7000"/>
    <n v="12.084571282570078"/>
    <n v="579.25099999999998"/>
    <x v="7"/>
    <s v="RM-M-R8"/>
    <s v="PALF"/>
    <s v="OAK"/>
    <s v="CONGO"/>
    <m/>
    <m/>
    <m/>
  </r>
  <r>
    <d v="2025-03-29T00:00:00"/>
    <s v="Cumul frais de transport local du mois de Mars 2025/Romain "/>
    <x v="1"/>
    <x v="0"/>
    <n v="49400"/>
    <n v="85.224430083188707"/>
    <n v="579.64599999999996"/>
    <x v="7"/>
    <s v="RM-M-D4"/>
    <s v="PALF"/>
    <s v="CHÊNE "/>
    <s v="CONGO"/>
    <m/>
    <m/>
    <m/>
  </r>
  <r>
    <d v="2025-03-31T00:00:00"/>
    <s v="Cumul frais de transport local du mois de Mars 2025/DOVI"/>
    <x v="1"/>
    <x v="2"/>
    <n v="61000"/>
    <n v="105.2366444347067"/>
    <n v="579.64599999999996"/>
    <x v="5"/>
    <s v="DH-M-D1"/>
    <s v="PALF"/>
    <s v="CHÊNE "/>
    <s v="CONGO"/>
    <m/>
    <m/>
    <m/>
  </r>
  <r>
    <d v="2025-03-31T00:00:00"/>
    <s v="Cumul frais de transfert local du mois de Mars 2025/Parfaite"/>
    <x v="1"/>
    <x v="6"/>
    <n v="35500"/>
    <n v="61.244276679214558"/>
    <n v="579.64599999999996"/>
    <x v="3"/>
    <s v="P-M-D1"/>
    <s v="PALF"/>
    <s v="CHÊNE "/>
    <s v="CONGO"/>
    <m/>
    <m/>
    <m/>
  </r>
  <r>
    <d v="2025-03-31T00:00:00"/>
    <s v="Reglement facture internet periode du 01/04 au 30/04/2025 bureau PALF"/>
    <x v="22"/>
    <x v="6"/>
    <n v="45050"/>
    <n v="77.719849701369469"/>
    <n v="579.64599999999996"/>
    <x v="3"/>
    <s v="CA-M-R54"/>
    <s v="PALF"/>
    <s v="CHÊNE "/>
    <s v="CONGO"/>
    <m/>
    <m/>
    <m/>
  </r>
  <r>
    <d v="2025-03-31T00:00:00"/>
    <s v="Cumul frais de trust building du mois de Mars 2025/IT87"/>
    <x v="11"/>
    <x v="3"/>
    <n v="30100"/>
    <n v="51.928245860404459"/>
    <n v="579.64599999999996"/>
    <x v="12"/>
    <s v="IT87-M-D3"/>
    <s v="PALF"/>
    <s v="CHÊNE "/>
    <s v="CONGO"/>
    <m/>
    <m/>
    <m/>
  </r>
  <r>
    <d v="2025-03-31T00:00:00"/>
    <s v="Cumul frais de transport local du mois de Mars 2025/IT87"/>
    <x v="1"/>
    <x v="3"/>
    <n v="89800"/>
    <n v="154.92214213502726"/>
    <n v="579.64599999999996"/>
    <x v="12"/>
    <s v="IT87-M-D4"/>
    <s v="PALF"/>
    <s v="CHÊNE "/>
    <s v="CONGO"/>
    <m/>
    <m/>
    <m/>
  </r>
  <r>
    <d v="2025-03-31T00:00:00"/>
    <s v="Cumul transport local du mois de Mars 2025/G12"/>
    <x v="1"/>
    <x v="3"/>
    <n v="50500"/>
    <n v="87.122140064798174"/>
    <n v="579.64599999999996"/>
    <x v="10"/>
    <s v="G12-M-D3"/>
    <s v="PALF"/>
    <s v="CHÊNE "/>
    <s v="CONGO"/>
    <m/>
    <m/>
    <m/>
  </r>
  <r>
    <d v="2025-03-31T00:00:00"/>
    <s v="Cumul frais de transport local du mois de Mars 2025/Roderlin "/>
    <x v="1"/>
    <x v="1"/>
    <n v="53000"/>
    <n v="91.435117295728773"/>
    <n v="579.64599999999996"/>
    <x v="8"/>
    <s v="RO-M-D2"/>
    <s v="PALF"/>
    <s v="CHÊNE "/>
    <s v="CONGO"/>
    <m/>
    <m/>
    <m/>
  </r>
  <r>
    <d v="2025-03-31T00:00:00"/>
    <s v="Frais de transfert d'argent à Crepin, Me Alain et Donald-Romeo"/>
    <x v="13"/>
    <x v="6"/>
    <n v="16890"/>
    <n v="29.138474172167154"/>
    <n v="579.64599999999996"/>
    <x v="8"/>
    <s v="CA-M-R55"/>
    <s v="PALF"/>
    <s v="CHÊNE "/>
    <s v="CONGO"/>
    <m/>
    <m/>
    <m/>
  </r>
  <r>
    <d v="2025-03-31T00:00:00"/>
    <s v="Cumul frais de transport local du mois de Mars 2025/Donald-Romeo"/>
    <x v="16"/>
    <x v="1"/>
    <n v="33000"/>
    <n v="56.931299448283958"/>
    <n v="579.64599999999996"/>
    <x v="13"/>
    <s v="DR-M-D3"/>
    <s v="PALF"/>
    <s v="CHÊNE "/>
    <s v="CONGO"/>
    <m/>
    <m/>
    <m/>
  </r>
  <r>
    <d v="2025-03-31T00:00:00"/>
    <s v="Reglement honoraire du mois de Mars 2025/T73/3654829"/>
    <x v="5"/>
    <x v="3"/>
    <n v="255000"/>
    <n v="439.92367755492148"/>
    <n v="579.64599999999996"/>
    <x v="4"/>
    <s v="BQ-M-R35"/>
    <s v="PALF"/>
    <s v="CHÊNE "/>
    <s v="CONGO"/>
    <m/>
    <m/>
    <m/>
  </r>
  <r>
    <d v="2025-03-31T00:00:00"/>
    <s v="Reglement honoraire du mois de Mars 2025/IT87/3654827"/>
    <x v="5"/>
    <x v="3"/>
    <n v="255000"/>
    <n v="439.92367755492148"/>
    <n v="579.64599999999996"/>
    <x v="4"/>
    <s v="BQ-M-R36"/>
    <s v="PALF"/>
    <s v="CHÊNE "/>
    <s v="CONGO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86">
  <r>
    <x v="0"/>
    <s v="Achat credit MTN/Benin pour internet  et communication"/>
    <s v="Telephone"/>
    <s v="Management"/>
    <n v="20000"/>
    <n v="35.074489446962986"/>
    <n v="570.21500000000003"/>
    <s v="DOVI"/>
    <s v="DH-J-R1"/>
    <s v="PALF"/>
    <x v="0"/>
    <s v="CONGO"/>
    <m/>
    <m/>
    <m/>
  </r>
  <r>
    <x v="0"/>
    <s v="Achat credit  teléphonique MTN/PALF/Première partie du mois de Janvier 2025/Office"/>
    <s v="Telephone"/>
    <s v="Office"/>
    <n v="21000"/>
    <n v="36.828213919311132"/>
    <n v="570.21500000000003"/>
    <s v="Merveille"/>
    <s v="CA-J-R1"/>
    <s v="PALF"/>
    <x v="0"/>
    <s v="CONGO"/>
    <m/>
    <m/>
    <m/>
  </r>
  <r>
    <x v="0"/>
    <s v="Achat credit  teléphonique MTN/PALF/Première partie du mois de Janvier 2025/Legal"/>
    <s v="Telephone"/>
    <s v="Legal"/>
    <n v="95000"/>
    <n v="166.60382487307419"/>
    <n v="570.21500000000003"/>
    <s v="Merveille"/>
    <s v="CA-J-R2"/>
    <s v="PALF"/>
    <x v="0"/>
    <s v="CONGO"/>
    <m/>
    <m/>
    <m/>
  </r>
  <r>
    <x v="0"/>
    <s v="Achat credit  teléphonique MTN/PALF/Première partie du mois de Janvier 2025/Investigation"/>
    <s v="Telephone"/>
    <s v="Investigation"/>
    <n v="88000"/>
    <n v="154.32775356663714"/>
    <n v="570.21500000000003"/>
    <s v="Merveille"/>
    <s v="CA-J-R3"/>
    <s v="PALF"/>
    <x v="0"/>
    <s v="CONGO"/>
    <m/>
    <m/>
    <m/>
  </r>
  <r>
    <x v="0"/>
    <s v="Achat credit  teléphonique MTN/PALF/Première partie du mois de Janvier 2025/Media"/>
    <s v="Telephone"/>
    <s v="Media"/>
    <n v="10000"/>
    <n v="17.537244723481493"/>
    <n v="570.21500000000003"/>
    <s v="Merveille"/>
    <s v="CA-J-R4"/>
    <s v="PALF"/>
    <x v="0"/>
    <s v="CONGO"/>
    <m/>
    <m/>
    <m/>
  </r>
  <r>
    <x v="0"/>
    <s v="Achat credit  teléphonique Airtel/PALF/Première partie du mois de Janvier 2025/Legal"/>
    <s v="Telephone"/>
    <s v="Legal"/>
    <n v="10000"/>
    <n v="17.537244723481493"/>
    <n v="570.21500000000003"/>
    <s v="Merveille"/>
    <s v="CA-J-R5"/>
    <s v="PALF"/>
    <x v="0"/>
    <s v="CONGO"/>
    <m/>
    <m/>
    <m/>
  </r>
  <r>
    <x v="0"/>
    <s v="Achat credit  teléphonique Airtel/PALF/Première partie du mois de Janvier 2025/Investigation"/>
    <s v="Telephone"/>
    <s v="Investigation"/>
    <n v="16000"/>
    <n v="28.059591557570389"/>
    <n v="570.21500000000003"/>
    <s v="Merveille"/>
    <s v="CA-J-R6"/>
    <s v="PALF"/>
    <x v="0"/>
    <s v="CONGO"/>
    <m/>
    <m/>
    <m/>
  </r>
  <r>
    <x v="0"/>
    <s v="Achat credit  teléphonique Airtel/PALF/Première partie du mois de Janvier 2025/Media"/>
    <s v="Telephone"/>
    <s v="Media"/>
    <n v="11000"/>
    <n v="19.290969195829643"/>
    <n v="570.21500000000003"/>
    <s v="Merveille"/>
    <s v="CA-J-R7"/>
    <s v="PALF"/>
    <x v="0"/>
    <s v="CONGO"/>
    <m/>
    <m/>
    <m/>
  </r>
  <r>
    <x v="1"/>
    <s v="Achat eau mineral 10 bidons de 16,5Litres pour le bureau PALF"/>
    <s v="Office Materials"/>
    <s v="Office"/>
    <n v="25000"/>
    <n v="43.843111808703732"/>
    <n v="570.21500000000003"/>
    <s v="Merveille"/>
    <s v="CA-J-R8"/>
    <s v="PALF"/>
    <x v="0"/>
    <s v="CONGO"/>
    <m/>
    <m/>
    <m/>
  </r>
  <r>
    <x v="2"/>
    <s v="Solde honoraire contrat n°79 Dolisie cas BOUTSANA et Consorts/ Maître BANZOUZI Alain"/>
    <s v="Lawyer Fees"/>
    <s v="Legal"/>
    <n v="300000"/>
    <n v="526.11734170444481"/>
    <n v="570.21500000000003"/>
    <s v="BCI"/>
    <s v="BQ-J-R1"/>
    <s v="PALF"/>
    <x v="0"/>
    <s v="CONGO"/>
    <m/>
    <m/>
    <m/>
  </r>
  <r>
    <x v="2"/>
    <s v="Solde honoraire contrat n°67 Sibiti et Consorts/ Maître Helene"/>
    <s v="Lawyer Fees"/>
    <s v="Legal"/>
    <n v="300000"/>
    <n v="526.11734170444481"/>
    <n v="570.21500000000003"/>
    <s v="BCI"/>
    <s v="BQ-J-R2"/>
    <s v="PALF"/>
    <x v="0"/>
    <s v="CONGO"/>
    <m/>
    <m/>
    <m/>
  </r>
  <r>
    <x v="2"/>
    <s v="Reglement loyer du mois de Décembre 2024/3654776"/>
    <s v="Rent &amp; Utilities"/>
    <s v="Office"/>
    <n v="500000"/>
    <n v="838.65459674971032"/>
    <n v="596.19299999999998"/>
    <s v="BCI"/>
    <s v="BQ-J-R3"/>
    <s v="PALF"/>
    <x v="0"/>
    <s v="CONGO"/>
    <m/>
    <m/>
    <m/>
  </r>
  <r>
    <x v="2"/>
    <s v="Reglement Facture Gardiennage Mois de Décembre 2024/3654775"/>
    <s v="Services"/>
    <s v="Office"/>
    <n v="260000"/>
    <n v="436.10039030984933"/>
    <n v="596.19299999999998"/>
    <s v="BCI"/>
    <s v="BQ-J-R13"/>
    <s v="PALF"/>
    <x v="0"/>
    <s v="CONGO"/>
    <m/>
    <m/>
    <m/>
  </r>
  <r>
    <x v="2"/>
    <s v="Paiement Honoraire Me LOCKO/Mois de Décembre 2024/3654777"/>
    <s v="Lawyer Fees"/>
    <s v="Legal"/>
    <n v="150000"/>
    <n v="251.59637902491309"/>
    <n v="596.19299999999998"/>
    <s v="BCI"/>
    <s v="BQ-J-R14"/>
    <s v="PALF"/>
    <x v="0"/>
    <s v="CONGO"/>
    <m/>
    <m/>
    <m/>
  </r>
  <r>
    <x v="3"/>
    <s v="achat billet: Brazzaville - Owando/T73"/>
    <s v="Transport"/>
    <s v="Investigation"/>
    <n v="7000"/>
    <n v="12.276071306437045"/>
    <n v="570.21500000000003"/>
    <s v="T73"/>
    <s v="T73-J-R1"/>
    <s v="PALF"/>
    <x v="0"/>
    <s v="CONGO"/>
    <m/>
    <m/>
    <m/>
  </r>
  <r>
    <x v="3"/>
    <s v="T73 - CONGO Food Allowance du 07 au 17/01/2025 (10 nuitées) à Owando et Oyo"/>
    <s v="Travel Subsistence"/>
    <s v="Investigation"/>
    <n v="100000"/>
    <n v="175.37244723481493"/>
    <n v="570.21500000000003"/>
    <s v="T73"/>
    <s v="T73-J-D1"/>
    <s v="PALF"/>
    <x v="0"/>
    <s v="CONGO"/>
    <m/>
    <m/>
    <m/>
  </r>
  <r>
    <x v="4"/>
    <s v="Achat billet d'Avion Retour Cotonou - Brazzaville/DOVI"/>
    <s v="Transport"/>
    <s v="Management"/>
    <n v="226000"/>
    <n v="396.34173075068173"/>
    <n v="570.21500000000003"/>
    <s v="DOVI"/>
    <s v="DH-J-R2"/>
    <s v="PALF"/>
    <x v="0"/>
    <s v="CONGO"/>
    <m/>
    <m/>
    <m/>
  </r>
  <r>
    <x v="4"/>
    <s v="Frais de transfert d'argent à DOVI"/>
    <s v="Transfer fees"/>
    <s v="Office"/>
    <n v="22640"/>
    <n v="39.704322053962102"/>
    <n v="570.21500000000003"/>
    <s v="Merveille"/>
    <s v="CA-J-R9"/>
    <s v="PALF"/>
    <x v="0"/>
    <s v="CONGO"/>
    <m/>
    <m/>
    <m/>
  </r>
  <r>
    <x v="4"/>
    <s v="Achat billet brazzaville-owando/P29"/>
    <s v="Transport"/>
    <s v="Investigation"/>
    <n v="7000"/>
    <n v="12.276071306437045"/>
    <n v="570.21500000000003"/>
    <s v="P29"/>
    <s v="P29-J-R1"/>
    <s v="PALF"/>
    <x v="0"/>
    <s v="CONGO"/>
    <m/>
    <m/>
    <m/>
  </r>
  <r>
    <x v="4"/>
    <s v="Achat de Billet Brazzaville-Owando/Romain"/>
    <s v="Transport"/>
    <s v="Legal"/>
    <n v="7000"/>
    <n v="12.276071306437045"/>
    <n v="570.21500000000003"/>
    <s v="Romain"/>
    <s v="RM-J-R1"/>
    <s v="PALF"/>
    <x v="0"/>
    <s v="CONGO"/>
    <m/>
    <m/>
    <m/>
  </r>
  <r>
    <x v="4"/>
    <s v="Achat billet Brazzaville - Owando/Abraham"/>
    <s v="Transport"/>
    <s v="Legal"/>
    <n v="7000"/>
    <n v="12.276071306437045"/>
    <n v="570.21500000000003"/>
    <s v="Abraham"/>
    <s v="AB-J-R1"/>
    <s v="PALF"/>
    <x v="0"/>
    <s v="CONGO"/>
    <m/>
    <m/>
    <m/>
  </r>
  <r>
    <x v="4"/>
    <s v="Frais de transfert d'argent à T73"/>
    <s v="Transfer fees"/>
    <s v="Office"/>
    <n v="1860"/>
    <n v="3.2619275185675578"/>
    <n v="570.21500000000003"/>
    <s v="Roderlin"/>
    <s v="CA-J-R10"/>
    <s v="PALF"/>
    <x v="0"/>
    <s v="CONGO"/>
    <m/>
    <m/>
    <m/>
  </r>
  <r>
    <x v="4"/>
    <s v="Achat billet Brazzaville-Owando/Donald-Roméo"/>
    <s v="Transport "/>
    <s v="Legal"/>
    <n v="7000"/>
    <n v="12.276071306437045"/>
    <n v="570.21500000000003"/>
    <s v="Donald-Roméo"/>
    <s v="DR-J-R1"/>
    <s v="PALF"/>
    <x v="0"/>
    <s v="CONGO"/>
    <m/>
    <m/>
    <m/>
  </r>
  <r>
    <x v="5"/>
    <s v="Billet: Brazzaville-Owando/Crepin"/>
    <s v="Transport"/>
    <s v="Operation"/>
    <n v="7000"/>
    <n v="12.276071306437045"/>
    <n v="570.21500000000003"/>
    <s v="Crépin"/>
    <s v="CR-J-R1"/>
    <s v="PALF"/>
    <x v="0"/>
    <s v="CONGO"/>
    <m/>
    <m/>
    <m/>
  </r>
  <r>
    <x v="5"/>
    <s v="P29 - CONGO Foodallowance mission du 09 au 17/01/2025 à Owando et Oyo (08 Nuitées)"/>
    <s v="Travel Subsistence"/>
    <s v="Investigation"/>
    <n v="80000"/>
    <n v="140.29795778785194"/>
    <n v="570.21500000000003"/>
    <s v="P29"/>
    <s v="P29-J-D1"/>
    <s v="PALF"/>
    <x v="0"/>
    <s v="CONGO"/>
    <m/>
    <m/>
    <m/>
  </r>
  <r>
    <x v="5"/>
    <s v="ROMAIN-CONGO Food Alowance du 09 au 25  janvier à Owando(16 Nuitées)"/>
    <s v="Travel Subsistence"/>
    <s v="Legal"/>
    <n v="160000"/>
    <n v="280.59591557570388"/>
    <n v="570.21500000000003"/>
    <s v="Romain"/>
    <s v="RM-J-D1"/>
    <s v="PALF"/>
    <x v="0"/>
    <s v="CONGO"/>
    <m/>
    <m/>
    <m/>
  </r>
  <r>
    <x v="5"/>
    <s v="ABRAHAM - CONGO food allowance du 09 au 17/01/2025 à Owando (08Nuitées)"/>
    <s v="Travel Subsistence"/>
    <s v="Legal"/>
    <n v="80000"/>
    <n v="140.29795778785194"/>
    <n v="570.21500000000003"/>
    <s v="Abraham"/>
    <s v="AB-J-D1"/>
    <s v="PALF"/>
    <x v="0"/>
    <s v="CONGO"/>
    <m/>
    <m/>
    <m/>
  </r>
  <r>
    <x v="5"/>
    <s v="Frais de transfert d'argent à P29 et Romain"/>
    <s v="Transfer fees"/>
    <s v="Office"/>
    <n v="32070"/>
    <n v="56.241943828205144"/>
    <n v="570.21500000000003"/>
    <s v="Roderlin"/>
    <s v="CA-J-R11"/>
    <s v="PALF"/>
    <x v="0"/>
    <s v="CONGO"/>
    <m/>
    <m/>
    <m/>
  </r>
  <r>
    <x v="5"/>
    <s v="Donald-Roméo - CONGO Food Allowance Mission du  09 au 19/01/2025 à Owando"/>
    <s v="Travel Subsistence"/>
    <s v="Legal"/>
    <n v="100000"/>
    <n v="175.37244723481493"/>
    <n v="570.21500000000003"/>
    <s v="Donald-Roméo"/>
    <s v="DR-J-D1"/>
    <s v="PALF"/>
    <x v="0"/>
    <s v="CONGO"/>
    <m/>
    <m/>
    <m/>
  </r>
  <r>
    <x v="5"/>
    <s v="Achat billet Brazzaville-Owando/Evariste"/>
    <s v="Transport"/>
    <s v="Media"/>
    <n v="7000"/>
    <n v="12.276071306437045"/>
    <n v="570.21500000000003"/>
    <s v="Evariste"/>
    <s v="EV-J-R1"/>
    <s v="PALF"/>
    <x v="0"/>
    <s v="CONGO"/>
    <m/>
    <m/>
    <m/>
  </r>
  <r>
    <x v="6"/>
    <s v="CREPIN IBOUILI - CONGO Food-Allowance à Owando du 10 au 25/01/2025/(15 Nuitées)"/>
    <s v="Travel Subsistence"/>
    <s v="Legal"/>
    <n v="150000"/>
    <n v="263.05867085222241"/>
    <n v="570.21500000000003"/>
    <s v="Crépin"/>
    <s v="CR-J-D1"/>
    <s v="PALF"/>
    <x v="0"/>
    <s v="CONGO"/>
    <m/>
    <m/>
    <m/>
  </r>
  <r>
    <x v="6"/>
    <s v="Reglement facture d'electricité periode Novembre - Decembre 2024/Bureau PALF"/>
    <s v="Rent &amp; Utilities"/>
    <s v="Office"/>
    <n v="59466"/>
    <n v="104.28697947265505"/>
    <n v="570.21500000000003"/>
    <s v="Roderlin"/>
    <s v="CA-J-R13"/>
    <s v="PALF"/>
    <x v="0"/>
    <s v="CONGO"/>
    <m/>
    <m/>
    <m/>
  </r>
  <r>
    <x v="6"/>
    <s v="EVARISTE - CONGO Food Allowance du 10 au 17 janvier 2025 mission à Owando (7 nuitées)"/>
    <s v="Travel Subsistence"/>
    <s v="Media"/>
    <n v="70000"/>
    <n v="122.76071306437045"/>
    <n v="570.21500000000003"/>
    <s v="Evariste"/>
    <s v="EV-J-D1"/>
    <s v="PALF"/>
    <x v="0"/>
    <s v="CONGO"/>
    <m/>
    <m/>
    <m/>
  </r>
  <r>
    <x v="7"/>
    <s v="CREPIN IBOUILI  - CONGO Frais d'hôtel à Owando du 10 au 13/01/2025 (03 Nuitées)"/>
    <s v="Travel Subsistence"/>
    <s v="Operation"/>
    <n v="45000"/>
    <n v="78.917601255666725"/>
    <n v="570.21500000000003"/>
    <s v="Crépin"/>
    <s v="CR-J-R2"/>
    <s v="PALF"/>
    <x v="0"/>
    <s v="CONGO"/>
    <m/>
    <m/>
    <m/>
  </r>
  <r>
    <x v="7"/>
    <s v="P29 - CONGO Frais d'hotel du 09 au 13/01/2025 à owando (4 Nuitées)"/>
    <s v="Travel Subsistence"/>
    <s v="Investigation"/>
    <n v="60000"/>
    <n v="105.22346834088896"/>
    <n v="570.21500000000003"/>
    <s v="P29"/>
    <s v="P29-J-R2"/>
    <s v="PALF"/>
    <x v="0"/>
    <s v="CONGO"/>
    <m/>
    <m/>
    <m/>
  </r>
  <r>
    <x v="7"/>
    <s v="Frais de transfert d'argent à T73"/>
    <s v="Transfer fees"/>
    <s v="Office"/>
    <n v="1000"/>
    <n v="1.7537244723481493"/>
    <n v="570.21500000000003"/>
    <s v="Roderlin"/>
    <s v="CA-J-R14"/>
    <s v="PALF"/>
    <x v="0"/>
    <s v="CONGO"/>
    <m/>
    <m/>
    <m/>
  </r>
  <r>
    <x v="8"/>
    <s v="Reglement facture d'hotel Eric ONA du 07 au 14/01/2025/(07 Nuitées)"/>
    <s v="Travel Subsistence"/>
    <s v="Management"/>
    <n v="245000"/>
    <n v="429.66249572529659"/>
    <n v="570.21500000000003"/>
    <s v="Abraham"/>
    <s v="CA-J-R12"/>
    <s v="PALF"/>
    <x v="0"/>
    <s v="CONGO"/>
    <m/>
    <m/>
    <m/>
  </r>
  <r>
    <x v="8"/>
    <s v="Frais de transfert d'argent à Romain,P29 et Donald-Roméo"/>
    <s v="Transfer fees"/>
    <s v="Office"/>
    <n v="8100"/>
    <n v="14.205168226020009"/>
    <n v="570.21500000000003"/>
    <s v="Roderlin"/>
    <s v="CA-J-R15"/>
    <s v="PALF"/>
    <x v="0"/>
    <s v="CONGO"/>
    <m/>
    <m/>
    <m/>
  </r>
  <r>
    <x v="9"/>
    <s v="Raffraichissement et plats avec 03 gendarmes pendant l'attente du top"/>
    <s v="Travel Subsistence"/>
    <s v="Operation"/>
    <n v="9750"/>
    <n v="17.098813605394454"/>
    <n v="570.21500000000003"/>
    <s v="Crépin"/>
    <s v="CR-J-R3"/>
    <s v="PALF"/>
    <x v="0"/>
    <s v="CONGO"/>
    <m/>
    <m/>
    <m/>
  </r>
  <r>
    <x v="9"/>
    <s v="Achat credit  teléphonique MTN/PALF/Deuxième partie du mois de Janvier 2025/Management"/>
    <s v="Telephone"/>
    <s v="Management"/>
    <n v="31000"/>
    <n v="54.365458642792625"/>
    <n v="570.21500000000003"/>
    <s v="Merveille"/>
    <s v="CA-J-R17"/>
    <s v="PALF"/>
    <x v="0"/>
    <s v="CONGO"/>
    <m/>
    <m/>
    <m/>
  </r>
  <r>
    <x v="9"/>
    <s v="Achat credit  teléphonique MTN/PALF/Deuxième partie du mois de Janvier 2025/Legal"/>
    <s v="Telephone"/>
    <s v="Legal"/>
    <n v="35000"/>
    <n v="61.380356532185225"/>
    <n v="570.21500000000003"/>
    <s v="Merveille"/>
    <s v="CA-J-R18"/>
    <s v="PALF"/>
    <x v="0"/>
    <s v="CONGO"/>
    <m/>
    <m/>
    <m/>
  </r>
  <r>
    <x v="9"/>
    <s v="Achat credit  teléphonique MTN/PALF/Deuxième partie du mois de Janvier 2025/Investigation"/>
    <s v="Telephone"/>
    <s v="Investigation"/>
    <n v="50000"/>
    <n v="87.686223617407464"/>
    <n v="570.21500000000003"/>
    <s v="Merveille"/>
    <s v="CA-J-R19"/>
    <s v="PALF"/>
    <x v="0"/>
    <s v="CONGO"/>
    <m/>
    <m/>
    <m/>
  </r>
  <r>
    <x v="9"/>
    <s v="Achat credit  teléphonique MTN/PALF/Deuxième partie du mois de Janvier 2025/Media"/>
    <s v="Telephone"/>
    <s v="Media"/>
    <n v="10000"/>
    <n v="17.537244723481493"/>
    <n v="570.21500000000003"/>
    <s v="Merveille"/>
    <s v="CA-J-R20"/>
    <s v="PALF"/>
    <x v="0"/>
    <s v="CONGO"/>
    <m/>
    <m/>
    <m/>
  </r>
  <r>
    <x v="9"/>
    <s v="Achat credit  teléphonique Airtel/PALF/Deuxième partie du mois de Janvier 2025/Legal"/>
    <s v="Telephone"/>
    <s v="Legal"/>
    <n v="10000"/>
    <n v="17.537244723481493"/>
    <n v="570.21500000000003"/>
    <s v="Merveille"/>
    <s v="CA-J-R21"/>
    <s v="PALF"/>
    <x v="0"/>
    <s v="CONGO"/>
    <m/>
    <m/>
    <m/>
  </r>
  <r>
    <x v="9"/>
    <s v="Achat credit  teléphonique Airtel/PALF/Deuxième partie du mois de Janvier 2025/Investigation"/>
    <s v="Telephone"/>
    <s v="Investigation"/>
    <n v="5000"/>
    <n v="8.7686223617407464"/>
    <n v="570.21500000000003"/>
    <s v="Merveille"/>
    <s v="CA-J-R22"/>
    <s v="PALF"/>
    <x v="0"/>
    <s v="CONGO"/>
    <m/>
    <m/>
    <m/>
  </r>
  <r>
    <x v="9"/>
    <s v="Location véhicule owando-oyo,extraction/après opération"/>
    <s v="Transport"/>
    <s v="Investigation"/>
    <n v="50000"/>
    <n v="87.686223617407464"/>
    <n v="570.21500000000003"/>
    <s v="P29"/>
    <s v="P29-J-R3"/>
    <s v="PALF"/>
    <x v="0"/>
    <s v="CONGO"/>
    <m/>
    <m/>
    <m/>
  </r>
  <r>
    <x v="9"/>
    <s v="T73- CONGO Frais d'hotel du 07 au 15/01/2025 (08nuitées ) à Owando"/>
    <s v="Travel Subsistence"/>
    <s v="Investigation"/>
    <n v="120000"/>
    <n v="210.44693668177791"/>
    <n v="570.21500000000003"/>
    <s v="T73"/>
    <s v="T73-J-R2"/>
    <s v="PALF"/>
    <x v="0"/>
    <s v="CONGO"/>
    <m/>
    <m/>
    <m/>
  </r>
  <r>
    <x v="9"/>
    <s v="Location  1 Taxis pour l'opération (Gendarmerie-Hotel  la Concorde:Aller-Retour)"/>
    <s v="Transport"/>
    <s v="Operation"/>
    <n v="8500"/>
    <n v="14.90665801495927"/>
    <n v="570.21500000000003"/>
    <s v="Romain"/>
    <s v="RM-J-R2"/>
    <s v="PALF"/>
    <x v="0"/>
    <s v="CONGO"/>
    <m/>
    <m/>
    <m/>
  </r>
  <r>
    <x v="9"/>
    <s v="Location  1 Taxis pour l'opération (Gendarmerie-Hotel  la Concorde:Aller-Retour)"/>
    <s v="Transport"/>
    <s v="Operation"/>
    <n v="8500"/>
    <n v="14.90665801495927"/>
    <n v="570.21500000000003"/>
    <s v="Romain"/>
    <s v="RM-J-R3"/>
    <s v="PALF"/>
    <x v="0"/>
    <s v="CONGO"/>
    <m/>
    <m/>
    <m/>
  </r>
  <r>
    <x v="9"/>
    <s v="Rafraichissement en attente opération "/>
    <s v="Travel Subsistence"/>
    <s v="Operation"/>
    <n v="10100"/>
    <n v="17.712617170716307"/>
    <n v="570.21500000000003"/>
    <s v="Romain"/>
    <s v="RM-J-R4"/>
    <s v="PALF"/>
    <x v="0"/>
    <s v="CONGO"/>
    <m/>
    <m/>
    <m/>
  </r>
  <r>
    <x v="9"/>
    <s v="ABRAHAM - CONGO frais d'Hôtel (Hôtel Joela) du 09 au 15/01/2025 Owando (06Nuitées)"/>
    <s v="Travel Subsistence"/>
    <s v="Legal"/>
    <n v="90000"/>
    <n v="157.83520251133345"/>
    <n v="570.21500000000003"/>
    <s v="Abraham"/>
    <s v="AB-J-R2"/>
    <s v="PALF"/>
    <x v="0"/>
    <s v="CONGO"/>
    <m/>
    <m/>
    <m/>
  </r>
  <r>
    <x v="9"/>
    <s v="Rafraîchissement attente op"/>
    <s v="Travel Subsistence"/>
    <s v="Operation"/>
    <n v="9600"/>
    <n v="16.835754934542233"/>
    <n v="570.21500000000003"/>
    <s v="Abraham"/>
    <s v="AB-J-R3"/>
    <s v="PALF"/>
    <x v="0"/>
    <s v="CONGO"/>
    <m/>
    <m/>
    <m/>
  </r>
  <r>
    <x v="9"/>
    <s v="Achat billet Brazzaville-Dolisie/Rodelin"/>
    <s v="Transport"/>
    <s v="Legal"/>
    <n v="8000"/>
    <n v="14.029795778785195"/>
    <n v="570.21500000000003"/>
    <s v="Roderlin"/>
    <s v="RO-J-R1"/>
    <s v="PALF"/>
    <x v="0"/>
    <s v="CONGO"/>
    <m/>
    <m/>
    <m/>
  </r>
  <r>
    <x v="9"/>
    <s v="Frais de mission maitre marie Helène à dolisie du 16 au 18/01/2025"/>
    <s v="Lawyer Fees"/>
    <s v="Legal"/>
    <n v="72000"/>
    <n v="126.26816200906674"/>
    <n v="570.21500000000003"/>
    <s v="Roderlin"/>
    <s v="CA-J-R16"/>
    <s v="PALF"/>
    <x v="0"/>
    <s v="CONGO"/>
    <m/>
    <m/>
    <m/>
  </r>
  <r>
    <x v="9"/>
    <s v="Achat carburant BJ  pour OP"/>
    <s v="Transport "/>
    <s v="Operation"/>
    <n v="25000"/>
    <n v="43.843111808703732"/>
    <n v="570.21500000000003"/>
    <s v="Donald-Roméo"/>
    <s v="DR-J-R2"/>
    <s v="PALF"/>
    <x v="0"/>
    <s v="CONGO"/>
    <m/>
    <m/>
    <m/>
  </r>
  <r>
    <x v="9"/>
    <s v="Raffraichissement OP  à Owando/10  gendarmes et moi"/>
    <s v="Travel Subsistence"/>
    <s v="Operation"/>
    <n v="19600"/>
    <n v="34.372999658023723"/>
    <n v="570.21500000000003"/>
    <s v="Donald-Roméo"/>
    <s v="DR-J-R3"/>
    <s v="PALF"/>
    <x v="0"/>
    <s v="CONGO"/>
    <m/>
    <m/>
    <m/>
  </r>
  <r>
    <x v="9"/>
    <s v="Rafraichissement de mon équipe lors de l'opération"/>
    <s v="Travel Subsistence"/>
    <s v="Operation"/>
    <n v="9700"/>
    <n v="17.011127381777047"/>
    <n v="570.21500000000003"/>
    <s v="Evariste"/>
    <s v="EV-J-R2"/>
    <s v="PALF"/>
    <x v="0"/>
    <s v="CONGO"/>
    <m/>
    <m/>
    <m/>
  </r>
  <r>
    <x v="10"/>
    <s v="Bonus pour 16 gendarmes ayant participé à l'opération du 15 Janvier 2025 à Owando"/>
    <s v="Bonus"/>
    <s v="Operation"/>
    <n v="160000"/>
    <n v="280.59591557570388"/>
    <n v="570.21500000000003"/>
    <s v="Crépin"/>
    <s v="CR-J-R4"/>
    <s v="PALF"/>
    <x v="0"/>
    <s v="CONGO"/>
    <m/>
    <m/>
    <m/>
  </r>
  <r>
    <x v="10"/>
    <s v="Bonus pour 02 EF ayant participé à l'opération du 15 Janvier 2025 à Owando"/>
    <s v="Bonus"/>
    <s v="Operation"/>
    <n v="20000"/>
    <n v="35.074489446962986"/>
    <n v="570.21500000000003"/>
    <s v="Crépin"/>
    <s v="CR-J-R5"/>
    <s v="PALF"/>
    <x v="0"/>
    <s v="CONGO"/>
    <m/>
    <m/>
    <m/>
  </r>
  <r>
    <x v="10"/>
    <s v="Frais de transfert d'argent à Crepin,T73 et Evariste"/>
    <s v="Transfer fees"/>
    <s v="Office"/>
    <n v="6055"/>
    <n v="10.618801680068044"/>
    <n v="570.21500000000003"/>
    <s v="Merveille"/>
    <s v="CA-J-R23"/>
    <s v="PALF"/>
    <x v="0"/>
    <s v="CONGO"/>
    <m/>
    <m/>
    <m/>
  </r>
  <r>
    <x v="10"/>
    <s v="Achat billet Oyo-Brazzaville(Océan du Nord)/Abraham"/>
    <s v="Transport"/>
    <s v="Legal"/>
    <n v="7000"/>
    <n v="12.276071306437045"/>
    <n v="570.21500000000003"/>
    <s v="Abraham"/>
    <s v="AB-J-R4"/>
    <s v="PALF"/>
    <x v="0"/>
    <s v="CONGO"/>
    <m/>
    <m/>
    <m/>
  </r>
  <r>
    <x v="10"/>
    <s v="RODERLIN-CONGO food allowance du 16 au 18/01/2025 à Dolisie (02 nuitées)"/>
    <s v="Travel Subsistence"/>
    <s v="Legal"/>
    <n v="20000"/>
    <n v="35.074489446962986"/>
    <n v="570.21500000000003"/>
    <s v="Roderlin"/>
    <s v="RO-J-D1"/>
    <s v="PALF"/>
    <x v="0"/>
    <s v="CONGO"/>
    <m/>
    <m/>
    <m/>
  </r>
  <r>
    <x v="10"/>
    <s v="Achat billet Owando-Brazzaville/Evariste"/>
    <s v="Transport"/>
    <s v="Media"/>
    <n v="7000"/>
    <n v="12.276071306437045"/>
    <n v="570.21500000000003"/>
    <s v="Evariste"/>
    <s v="EV-J-R3"/>
    <s v="PALF"/>
    <x v="0"/>
    <s v="CONGO"/>
    <m/>
    <m/>
    <m/>
  </r>
  <r>
    <x v="11"/>
    <s v="Frais de transfert d'argent à Donald-Roméo et Romain"/>
    <s v="Transfer fees"/>
    <s v="Office"/>
    <n v="6720"/>
    <n v="11.785028454179564"/>
    <n v="570.21500000000003"/>
    <s v="Merveille"/>
    <s v="CA-J-R24"/>
    <s v="PALF"/>
    <x v="0"/>
    <s v="CONGO"/>
    <m/>
    <m/>
    <m/>
  </r>
  <r>
    <x v="11"/>
    <s v="Frais de mission maitre Alain BANZOUZI du 19 au 22/01/2025 à Owando"/>
    <s v="Lawyer Fees"/>
    <s v="Legal"/>
    <n v="176000"/>
    <n v="308.65550713327428"/>
    <n v="570.21500000000003"/>
    <s v="Merveille"/>
    <s v="CA-J-R25"/>
    <s v="PALF"/>
    <x v="0"/>
    <s v="CONGO"/>
    <m/>
    <m/>
    <m/>
  </r>
  <r>
    <x v="11"/>
    <s v="P29 - Frais d'hotel du 13 au 17/01/2025  lieu op à owando(pour P29)/04 Nuitées"/>
    <s v="Travel Subsistence"/>
    <s v="Investigation"/>
    <n v="100000"/>
    <n v="175.37244723481493"/>
    <n v="570.21500000000003"/>
    <s v="P29"/>
    <s v="P29-J-R4"/>
    <s v="PALF"/>
    <x v="0"/>
    <s v="CONGO"/>
    <m/>
    <m/>
    <m/>
  </r>
  <r>
    <x v="11"/>
    <s v="P29 - Frais d'hotel du 13 au 17/01/2025  lieu op à owando(Pour Crépin)/04 Nuitées"/>
    <s v="Travel Subsistence"/>
    <s v="Investigation"/>
    <n v="100000"/>
    <n v="175.37244723481493"/>
    <n v="570.21500000000003"/>
    <s v="P29"/>
    <s v="P29-J-R5"/>
    <s v="PALF"/>
    <x v="0"/>
    <s v="CONGO"/>
    <m/>
    <m/>
    <m/>
  </r>
  <r>
    <x v="11"/>
    <s v="Achat billet oyo-brazzaville/P29"/>
    <s v="Transport"/>
    <s v="Investigation"/>
    <n v="7000"/>
    <n v="12.276071306437045"/>
    <n v="570.21500000000003"/>
    <s v="P29"/>
    <s v="P29-J-R6"/>
    <s v="PALF"/>
    <x v="0"/>
    <s v="CONGO"/>
    <m/>
    <m/>
    <m/>
  </r>
  <r>
    <x v="11"/>
    <s v="P29 - CONGO Frais d'hotel du 15 au 17/01/2025  à oyo ( 02 Nuitées)"/>
    <s v="Travel Subsistence"/>
    <s v="Investigation"/>
    <n v="30000"/>
    <n v="52.611734170444478"/>
    <n v="570.21500000000003"/>
    <s v="P29"/>
    <s v="P29-J-R7"/>
    <s v="PALF"/>
    <x v="0"/>
    <s v="CONGO"/>
    <m/>
    <m/>
    <m/>
  </r>
  <r>
    <x v="11"/>
    <s v="T73 - CONGO Frais d'hotel du 15 au 17/01/2025 (02nuitées ) à Oyo"/>
    <s v="Travel Subsistence"/>
    <s v="Investigation"/>
    <n v="30000"/>
    <n v="52.611734170444478"/>
    <n v="570.21500000000003"/>
    <s v="T73"/>
    <s v="T73-J-R3"/>
    <s v="PALF"/>
    <x v="0"/>
    <s v="CONGO"/>
    <m/>
    <m/>
    <m/>
  </r>
  <r>
    <x v="11"/>
    <s v="achat billet : Oyo - Brazzaville /T73"/>
    <s v="Transport"/>
    <s v="Investigation"/>
    <n v="7000"/>
    <n v="12.276071306437045"/>
    <n v="570.21500000000003"/>
    <s v="T73"/>
    <s v="T73-J-R4"/>
    <s v="PALF"/>
    <x v="0"/>
    <s v="CONGO"/>
    <m/>
    <m/>
    <m/>
  </r>
  <r>
    <x v="11"/>
    <s v="ABRAHAM - CONGO frais d'Hôtel (Hôtel Saint Benoit) du 17 au 17/01/2025 Oyo (02Nuitées)"/>
    <s v="Travel Subsistence"/>
    <s v="Legal"/>
    <n v="30000"/>
    <n v="52.611734170444478"/>
    <n v="570.21500000000003"/>
    <s v="Abraham"/>
    <s v="AB-J-R5"/>
    <s v="PALF"/>
    <x v="0"/>
    <s v="CONGO"/>
    <m/>
    <m/>
    <m/>
  </r>
  <r>
    <x v="11"/>
    <s v="Cumul frais de Jail visit du mois de Janvier 2025/Roderlin"/>
    <s v="Jail visit"/>
    <s v="Legal"/>
    <n v="12000"/>
    <n v="21.044693668177793"/>
    <n v="570.21500000000003"/>
    <s v="Roderlin"/>
    <s v="RO-J-D2"/>
    <s v="PALF"/>
    <x v="0"/>
    <s v="CONGO"/>
    <m/>
    <m/>
    <m/>
  </r>
  <r>
    <x v="11"/>
    <s v="Achat billet Dolisie -Brazzaville /Roderlin"/>
    <s v="Transport"/>
    <s v="Legal"/>
    <n v="8000"/>
    <n v="14.029795778785195"/>
    <n v="570.21500000000003"/>
    <s v="Roderlin"/>
    <s v="RO-J-R2"/>
    <s v="PALF"/>
    <x v="0"/>
    <s v="CONGO"/>
    <m/>
    <m/>
    <m/>
  </r>
  <r>
    <x v="11"/>
    <s v="EVARISTE - CONGO Frais d'hôtel du 10 au 17 janvier 2025 (7 nuitées) à Owando"/>
    <s v="Travel Subsistence"/>
    <s v="Media"/>
    <n v="105000"/>
    <n v="184.14106959655567"/>
    <n v="570.21500000000003"/>
    <s v="Evariste"/>
    <s v="EV-J-R4"/>
    <s v="PALF"/>
    <x v="0"/>
    <s v="CONGO"/>
    <m/>
    <m/>
    <m/>
  </r>
  <r>
    <x v="11"/>
    <s v="RAPATRIEME01100 RAO00010730"/>
    <s v="Grant"/>
    <m/>
    <m/>
    <m/>
    <n v="596.1932333333333"/>
    <s v="BCI"/>
    <s v="BQ-J-G1"/>
    <s v="PALF"/>
    <x v="0"/>
    <s v="CONGO"/>
    <n v="17885797"/>
    <n v="30000"/>
    <m/>
  </r>
  <r>
    <x v="12"/>
    <s v="RODERLIN-CONGO frais d'hôtel du 16 au 18/01/2025 à DOLISIE (02 nuitées)"/>
    <s v="Travel Subsistence"/>
    <s v="Legal"/>
    <n v="30000"/>
    <n v="50.319275804982617"/>
    <n v="596.19299999999998"/>
    <s v="Roderlin"/>
    <s v="RO-J-R3"/>
    <s v="PALF"/>
    <x v="0"/>
    <s v="CONGO"/>
    <m/>
    <m/>
    <m/>
  </r>
  <r>
    <x v="13"/>
    <s v="Achat billet Owando-Brazzaville/Donald-Roméo"/>
    <s v="Transport "/>
    <s v="Legal"/>
    <n v="7000"/>
    <n v="12.276071306437045"/>
    <n v="570.21500000000003"/>
    <s v="Donald-Roméo"/>
    <s v="DR-J-R4"/>
    <s v="PALF"/>
    <x v="0"/>
    <s v="CONGO"/>
    <m/>
    <m/>
    <m/>
  </r>
  <r>
    <x v="13"/>
    <s v="DONALD-ROMEO - CONGO Frais d'hôtel du 09 au 19/01/2025 à  Owando (Hôtel  Joella)/ 10 Nuitées"/>
    <s v="Travel Subsistence"/>
    <s v="Legal"/>
    <n v="150000"/>
    <n v="251.59637902491309"/>
    <n v="596.19299999999998"/>
    <s v="Donald-Roméo"/>
    <s v="DR-J-R5"/>
    <s v="PALF"/>
    <x v="0"/>
    <s v="CONGO"/>
    <m/>
    <m/>
    <m/>
  </r>
  <r>
    <x v="13"/>
    <s v="Cumul frais de transport local du mois de Janvier 2025/Donald-Roméo"/>
    <s v="Transport "/>
    <s v="Legal"/>
    <n v="12500"/>
    <n v="20.966364918742755"/>
    <n v="596.19299999999998"/>
    <s v="Donald-Roméo"/>
    <s v="DR-J-D2"/>
    <s v="PALF"/>
    <x v="0"/>
    <s v="CONGO"/>
    <m/>
    <m/>
    <m/>
  </r>
  <r>
    <x v="14"/>
    <s v="Achat encre 216A et registre"/>
    <s v="Office Materials"/>
    <s v="Office"/>
    <n v="195000"/>
    <n v="327.07529273238703"/>
    <n v="596.19299999999998"/>
    <s v="Merveille"/>
    <s v="CA-J-R26"/>
    <s v="PALF"/>
    <x v="0"/>
    <s v="CONGO"/>
    <m/>
    <m/>
    <m/>
  </r>
  <r>
    <x v="14"/>
    <s v="Prestation de nettoyage Jardin PALF mois de Janvier 2025"/>
    <s v="Services"/>
    <s v="Office"/>
    <n v="20000"/>
    <n v="33.546183869988411"/>
    <n v="596.19299999999998"/>
    <s v="Merveille"/>
    <s v="CA-J-R27"/>
    <s v="PALF"/>
    <x v="0"/>
    <s v="CONGO"/>
    <m/>
    <m/>
    <m/>
  </r>
  <r>
    <x v="15"/>
    <s v="achat billet : Brazzaville - dolisie/T73"/>
    <s v="Transport"/>
    <s v="Investigation"/>
    <n v="7000"/>
    <n v="11.741164354495943"/>
    <n v="596.19299999999998"/>
    <s v="T73"/>
    <s v="T73-J-R5"/>
    <s v="PALF"/>
    <x v="0"/>
    <s v="CONGO"/>
    <m/>
    <m/>
    <m/>
  </r>
  <r>
    <x v="15"/>
    <s v="Achat carte sim pour T73"/>
    <s v="Investigation materials"/>
    <s v="Investigation"/>
    <n v="10000"/>
    <n v="17.537244723481493"/>
    <n v="570.21500000000003"/>
    <s v="T73"/>
    <s v="T73-J-R16"/>
    <s v="PALF"/>
    <x v="0"/>
    <s v="CONGO"/>
    <m/>
    <m/>
    <m/>
  </r>
  <r>
    <x v="15"/>
    <s v="Impréssion de la procédure de la Gendaremrie"/>
    <s v="Office Materials"/>
    <s v="Operation"/>
    <n v="24675"/>
    <n v="43.273151355190585"/>
    <n v="570.21500000000003"/>
    <s v="Romain"/>
    <s v="RM-J-R5"/>
    <s v="PALF"/>
    <x v="0"/>
    <s v="CONGO"/>
    <m/>
    <m/>
    <m/>
  </r>
  <r>
    <x v="15"/>
    <s v="Cumul frais de jail visit du mois de Janvier 2025/Romain"/>
    <s v="Jail visit"/>
    <s v="Legal"/>
    <n v="26000"/>
    <n v="43.610039030984936"/>
    <n v="596.19299999999998"/>
    <s v="Romain"/>
    <s v="RM-J-D2"/>
    <s v="PALF"/>
    <x v="0"/>
    <s v="CONGO"/>
    <m/>
    <m/>
    <m/>
  </r>
  <r>
    <x v="15"/>
    <s v="Bonus media portant sur l'operation du 15/01/2025"/>
    <s v="Bonus to media office"/>
    <s v="Media"/>
    <n v="154000"/>
    <n v="258.30561579891076"/>
    <n v="596.19299999999998"/>
    <s v="Evariste"/>
    <s v="CA-J-D1"/>
    <s v="PALF"/>
    <x v="0"/>
    <s v="CONGO"/>
    <m/>
    <m/>
    <m/>
  </r>
  <r>
    <x v="16"/>
    <s v="IT87 - CONGO Food Allowance mission du 22 au 30/01/2025 à Mouyondzi, Kolo, Bouansa et Madingou/(08 Nuitées)"/>
    <s v="Travel Subsistence"/>
    <s v="Investigation"/>
    <n v="80000"/>
    <n v="134.18473547995364"/>
    <n v="596.19299999999998"/>
    <s v="IT87"/>
    <s v="IT87-J-D1"/>
    <s v="PALF"/>
    <x v="0"/>
    <s v="CONGO"/>
    <m/>
    <m/>
    <m/>
  </r>
  <r>
    <x v="16"/>
    <s v="Achat billet Brazzaville - Mouyondzi/ IT87"/>
    <s v="Transport"/>
    <s v="Investigation"/>
    <n v="7000"/>
    <n v="11.741164354495943"/>
    <n v="596.19299999999998"/>
    <s v="IT87"/>
    <s v="IT87-J-R1"/>
    <s v="PALF"/>
    <x v="0"/>
    <s v="CONGO"/>
    <m/>
    <m/>
    <m/>
  </r>
  <r>
    <x v="16"/>
    <s v="Achat billet brazzaville-dolisie/P29"/>
    <s v="Transport"/>
    <s v="Investigation"/>
    <n v="7000"/>
    <n v="11.741164354495943"/>
    <n v="596.19299999999998"/>
    <s v="P29"/>
    <s v="P29-J-R8"/>
    <s v="PALF"/>
    <x v="0"/>
    <s v="CONGO"/>
    <m/>
    <m/>
    <m/>
  </r>
  <r>
    <x v="16"/>
    <s v="P29 - CONGO Foodallowance mission du 22 au 30/01/2025 à Dolisie,Kimongo,Louvakou et ditadi (08 Nuitées)"/>
    <s v="Travel Subsistence"/>
    <s v="Investigation"/>
    <n v="80000"/>
    <n v="134.18473547995364"/>
    <n v="596.19299999999998"/>
    <s v="P29"/>
    <s v="P29-J-D2"/>
    <s v="PALF"/>
    <x v="0"/>
    <s v="CONGO"/>
    <m/>
    <m/>
    <m/>
  </r>
  <r>
    <x v="16"/>
    <s v="T73 - CONGO Food Allowance du 22 au 30/01/2025 (08nuitées) à Dolisie,Kibangou,Mbanda et Passi passi"/>
    <s v="Travel Subsistence"/>
    <s v="Investigation"/>
    <n v="80000"/>
    <n v="134.18473547995364"/>
    <n v="596.19299999999998"/>
    <s v="T73"/>
    <s v="T73-J-D2"/>
    <s v="PALF"/>
    <x v="0"/>
    <s v="CONGO"/>
    <m/>
    <m/>
    <m/>
  </r>
  <r>
    <x v="16"/>
    <s v="Achat billet: Brazzaville - dolisie / G12"/>
    <s v="Transport"/>
    <s v="Investigation"/>
    <n v="7000"/>
    <n v="11.741164354495943"/>
    <n v="596.19299999999998"/>
    <s v="G12"/>
    <s v="G12-J-R1"/>
    <s v="PALF"/>
    <x v="0"/>
    <s v="CONGO"/>
    <m/>
    <m/>
    <m/>
  </r>
  <r>
    <x v="16"/>
    <s v="G12 - CONGO Food Allowance du 22  au 30 /01/2025 (08nuitées)"/>
    <s v="Travel Subsistence"/>
    <s v="Investigation"/>
    <n v="80000"/>
    <n v="134.18473547995364"/>
    <n v="596.19299999999998"/>
    <s v="G12"/>
    <s v="G12-J-D1"/>
    <s v="PALF"/>
    <x v="0"/>
    <s v="CONGO"/>
    <m/>
    <m/>
    <m/>
  </r>
  <r>
    <x v="16"/>
    <s v="Cumul frais de transport local du mois de Janvier 2025/Abraham"/>
    <s v="Transport"/>
    <s v="Legal"/>
    <n v="14500"/>
    <n v="24.320983305741599"/>
    <n v="596.19299999999998"/>
    <s v="Abraham"/>
    <s v="AB-J-D2"/>
    <s v="PALF"/>
    <x v="0"/>
    <s v="CONGO"/>
    <m/>
    <m/>
    <m/>
  </r>
  <r>
    <x v="16"/>
    <s v="Frais de transfert d'argent à Romain "/>
    <s v="Transfer fees"/>
    <s v="Office"/>
    <n v="3330"/>
    <n v="5.5854396143530707"/>
    <n v="596.19299999999998"/>
    <s v="Abraham"/>
    <s v="CA-J-R28"/>
    <s v="PALF"/>
    <x v="0"/>
    <s v="CONGO"/>
    <m/>
    <m/>
    <m/>
  </r>
  <r>
    <x v="16"/>
    <s v="Recharge bouteille de gaz de 12KG/Bureau PALF"/>
    <s v="Office Materials"/>
    <s v="Office"/>
    <n v="7500"/>
    <n v="12.579818951245654"/>
    <n v="596.19299999999998"/>
    <s v="Roderlin"/>
    <s v="CA-J-R29"/>
    <s v="PALF"/>
    <x v="0"/>
    <s v="CONGO"/>
    <m/>
    <m/>
    <m/>
  </r>
  <r>
    <x v="17"/>
    <s v="Frais de notification contrat Roderlin et Abraham"/>
    <s v="Personnel"/>
    <s v="Legal"/>
    <n v="21000"/>
    <n v="35.22349306348783"/>
    <n v="596.19299999999998"/>
    <s v="Merveille"/>
    <s v="CA-J-R31"/>
    <s v="PALF"/>
    <x v="0"/>
    <s v="CONGO"/>
    <m/>
    <m/>
    <m/>
  </r>
  <r>
    <x v="17"/>
    <s v="Frais de transfert d'argent à T73,P29,IT87 et G12"/>
    <s v="Transfer fees"/>
    <s v="Office"/>
    <n v="21030"/>
    <n v="35.273812339292817"/>
    <n v="596.19299999999998"/>
    <s v="Roderlin"/>
    <s v="CA-J-R30"/>
    <s v="PALF"/>
    <x v="0"/>
    <s v="CONGO"/>
    <m/>
    <m/>
    <m/>
  </r>
  <r>
    <x v="17"/>
    <s v="Paiement salaire du mois de Janvier 2025"/>
    <s v="Personnel"/>
    <s v="Management"/>
    <n v="1311000"/>
    <n v="2198.9523526777402"/>
    <n v="596.19299999999998"/>
    <s v="BCI"/>
    <s v="BQ-J-R4"/>
    <s v="PALF"/>
    <x v="0"/>
    <s v="CONGO"/>
    <m/>
    <m/>
    <m/>
  </r>
  <r>
    <x v="17"/>
    <s v="Paiement salaire du mois de Janvier 2025/Loundou Jean Romain"/>
    <s v="Personnel"/>
    <s v="Legal"/>
    <n v="200000"/>
    <n v="335.46183869988408"/>
    <n v="596.19299999999998"/>
    <s v="BCI"/>
    <s v="BQ-J-R5"/>
    <s v="PALF"/>
    <x v="0"/>
    <s v="CONGO"/>
    <m/>
    <m/>
    <m/>
  </r>
  <r>
    <x v="17"/>
    <s v="Paiement salaire du mois de Janvier 2025/Crepin IBOUILI IBOUILI"/>
    <s v="Personnel"/>
    <s v="Office"/>
    <n v="551482"/>
    <n v="925.00582864944738"/>
    <n v="596.19299999999998"/>
    <s v="BCI"/>
    <s v="BQ-J-R6"/>
    <s v="PALF"/>
    <x v="0"/>
    <s v="CONGO"/>
    <m/>
    <m/>
    <m/>
  </r>
  <r>
    <x v="17"/>
    <s v="Paiement salaire du mois de Janvier 2025/Merveille MAHANGA"/>
    <s v="Personnel"/>
    <s v="Legal"/>
    <n v="384789"/>
    <n v="645.41012725744849"/>
    <n v="596.19299999999998"/>
    <s v="BCI"/>
    <s v="BQ-J-R7"/>
    <s v="PALF"/>
    <x v="0"/>
    <s v="CONGO"/>
    <m/>
    <m/>
    <m/>
  </r>
  <r>
    <x v="17"/>
    <s v="Paiement salaire du mois de Janvier 2025 et congé/PINDI BINGA Donald-Roméo"/>
    <s v="Personnel"/>
    <s v="Legal"/>
    <n v="336400"/>
    <n v="564.24681269320502"/>
    <n v="596.19299999999998"/>
    <s v="BCI"/>
    <s v="BQ-J-R8"/>
    <s v="PALF"/>
    <x v="0"/>
    <s v="CONGO"/>
    <m/>
    <m/>
    <m/>
  </r>
  <r>
    <x v="17"/>
    <s v="Paiement salaire du mois de Janvier 2025/BOUNGOU Abraham"/>
    <s v="Personnel"/>
    <s v="Legal"/>
    <n v="200000"/>
    <n v="335.46183869988408"/>
    <n v="596.19299999999998"/>
    <s v="BCI"/>
    <s v="BQ-J-R9"/>
    <s v="PALF"/>
    <x v="0"/>
    <s v="CONGO"/>
    <m/>
    <m/>
    <m/>
  </r>
  <r>
    <x v="17"/>
    <s v="Paiement salaire du mois de Janvier 2025/FOUMBA Roderlin"/>
    <s v="Personnel"/>
    <s v="Legal"/>
    <n v="200000"/>
    <n v="335.46183869988408"/>
    <n v="596.19299999999998"/>
    <s v="BCI"/>
    <s v="BQ-J-R10"/>
    <s v="PALF"/>
    <x v="0"/>
    <s v="CONGO"/>
    <m/>
    <m/>
    <m/>
  </r>
  <r>
    <x v="17"/>
    <s v="Paiement salaire du mois de Janvier 2025/Evariste LELOUSSI"/>
    <s v="Personnel"/>
    <s v="Media"/>
    <n v="238140"/>
    <n v="399.43441133995202"/>
    <n v="596.19299999999998"/>
    <s v="BCI"/>
    <s v="BQ-J-R11"/>
    <s v="PALF"/>
    <x v="0"/>
    <s v="CONGO"/>
    <m/>
    <m/>
    <m/>
  </r>
  <r>
    <x v="18"/>
    <s v="Billet: Owando-Brazzaville/Crepin"/>
    <s v="Transport"/>
    <s v="Legal"/>
    <n v="7000"/>
    <n v="11.741164354495943"/>
    <n v="596.19299999999998"/>
    <s v="Crépin"/>
    <s v="CR-J-R6"/>
    <s v="PALF"/>
    <x v="0"/>
    <s v="CONGO"/>
    <m/>
    <m/>
    <m/>
  </r>
  <r>
    <x v="18"/>
    <s v="Taxi : Mouyondzi - Village Kolo/ vérification de l'animal avec la cible"/>
    <s v="Transport"/>
    <s v="Investigation"/>
    <n v="5000"/>
    <n v="8.3865459674971028"/>
    <n v="596.19299999999998"/>
    <s v="IT87"/>
    <s v="IT87-J-R2"/>
    <s v="PALF"/>
    <x v="0"/>
    <s v="CONGO"/>
    <m/>
    <m/>
    <m/>
  </r>
  <r>
    <x v="18"/>
    <s v="Taxi : Village Kolo - Mouyondzi/ Retour de la vérification avec la cible"/>
    <s v="Transport"/>
    <s v="Investigation"/>
    <n v="5000"/>
    <n v="8.3865459674971028"/>
    <n v="596.19299999999998"/>
    <s v="IT87"/>
    <s v="IT87-J-R3"/>
    <s v="PALF"/>
    <x v="0"/>
    <s v="CONGO"/>
    <m/>
    <m/>
    <m/>
  </r>
  <r>
    <x v="18"/>
    <s v="P29 - CONGO Frais d'hotel du 22 au 24/01/2025 à Dolisie (02 Nuitées)"/>
    <s v="Travel Subsistence"/>
    <s v="Investigation"/>
    <n v="30000"/>
    <n v="50.319275804982617"/>
    <n v="596.19299999999998"/>
    <s v="P29"/>
    <s v="P29-J-R9"/>
    <s v="PALF"/>
    <x v="0"/>
    <s v="CONGO"/>
    <m/>
    <m/>
    <m/>
  </r>
  <r>
    <x v="18"/>
    <s v="Achat billet Dolisie-kimongo/P29"/>
    <s v="Transport"/>
    <s v="Investigation"/>
    <n v="6000"/>
    <n v="10.063855160996523"/>
    <n v="596.19299999999998"/>
    <s v="P29"/>
    <s v="P29-J-R10"/>
    <s v="PALF"/>
    <x v="0"/>
    <s v="CONGO"/>
    <m/>
    <m/>
    <m/>
  </r>
  <r>
    <x v="18"/>
    <s v="T73 - CONGO Frais d'hotel du 22 au 24/01/2025 (02nuitées ) à Dolisie"/>
    <s v="Travel Subsistence"/>
    <s v="Investigation"/>
    <n v="30000"/>
    <n v="50.319275804982617"/>
    <n v="596.19299999999998"/>
    <s v="T73"/>
    <s v="T73-J-R6"/>
    <s v="PALF"/>
    <x v="0"/>
    <s v="CONGO"/>
    <m/>
    <m/>
    <m/>
  </r>
  <r>
    <x v="18"/>
    <s v="Achat billet: dolisie - Mbanda/T73"/>
    <s v="Transport"/>
    <s v="Investigation"/>
    <n v="15000"/>
    <n v="25.159637902491308"/>
    <n v="596.19299999999998"/>
    <s v="T73"/>
    <s v="T73-J-R7"/>
    <s v="PALF"/>
    <x v="0"/>
    <s v="CONGO"/>
    <m/>
    <m/>
    <m/>
  </r>
  <r>
    <x v="18"/>
    <s v=" G12 - CONGO frais d'hotel du 22au 24 /01/2025 à Dolisie ( 2 nuitées)"/>
    <s v="Travel Subsistence"/>
    <s v="Investigation"/>
    <n v="30000"/>
    <n v="50.319275804982617"/>
    <n v="596.19299999999998"/>
    <s v="G12"/>
    <s v="G12-J-R2"/>
    <s v="PALF"/>
    <x v="0"/>
    <s v="CONGO"/>
    <m/>
    <m/>
    <m/>
  </r>
  <r>
    <x v="18"/>
    <s v="Achat billet : Dolisie - mossendjo/G12"/>
    <s v="Transport"/>
    <s v="Investigation"/>
    <n v="8000"/>
    <n v="13.418473547995363"/>
    <n v="596.19299999999998"/>
    <s v="G12"/>
    <s v="G12-J-R3"/>
    <s v="PALF"/>
    <x v="0"/>
    <s v="CONGO"/>
    <m/>
    <m/>
    <m/>
  </r>
  <r>
    <x v="18"/>
    <s v="Achat de Billet Owando-Brazzaville/Romain"/>
    <s v="Transport"/>
    <s v="Legal"/>
    <n v="7000"/>
    <n v="11.741164354495943"/>
    <n v="596.19299999999998"/>
    <s v="Romain"/>
    <s v="RM-J-R5"/>
    <s v="PALF"/>
    <x v="0"/>
    <s v="CONGO"/>
    <m/>
    <m/>
    <m/>
  </r>
  <r>
    <x v="19"/>
    <s v="CREPIN IBOUILI  - CONGO Frais d'hôtel à Owando du 15 au 25/01/2025/10 Nuitées"/>
    <s v="Travel Subsistence"/>
    <s v="Legal"/>
    <n v="150000"/>
    <n v="251.59637902491309"/>
    <n v="596.19299999999998"/>
    <s v="Crépin"/>
    <s v="CR-J-R7"/>
    <s v="PALF"/>
    <x v="0"/>
    <s v="CONGO"/>
    <m/>
    <m/>
    <m/>
  </r>
  <r>
    <x v="19"/>
    <s v="Cumul frais de transport local du mois de Janvier 2025/Crepin"/>
    <s v="Transport"/>
    <s v="Legal"/>
    <n v="13500"/>
    <n v="22.643674112242177"/>
    <n v="596.19299999999998"/>
    <s v="Crépin"/>
    <s v="CR-J-D2"/>
    <s v="PALF"/>
    <x v="0"/>
    <s v="CONGO"/>
    <m/>
    <m/>
    <m/>
  </r>
  <r>
    <x v="19"/>
    <s v="ROMAIN - CONGO Frais d'hôtel de la mission du 09 au 25/2025 à Owando(16 nuitées)"/>
    <s v="Travel Subsistence"/>
    <s v="Legal"/>
    <n v="240000"/>
    <n v="402.55420643986093"/>
    <n v="596.19299999999998"/>
    <s v="Romain"/>
    <s v="RM-J-R7"/>
    <s v="PALF"/>
    <x v="0"/>
    <s v="CONGO"/>
    <m/>
    <m/>
    <m/>
  </r>
  <r>
    <x v="20"/>
    <s v="IT87 - CONGO Frais d'hôtel DZA-MATSAKA du 22 au 26/01/2025 à Mouyondzi (04 nuitées)"/>
    <s v="Travel Subsistence"/>
    <s v="Investigation"/>
    <n v="60000"/>
    <n v="100.63855160996523"/>
    <n v="596.19299999999998"/>
    <s v="IT87"/>
    <s v="IT87-J-R4"/>
    <s v="PALF"/>
    <x v="0"/>
    <s v="CONGO"/>
    <m/>
    <m/>
    <m/>
  </r>
  <r>
    <x v="20"/>
    <s v="Achat billet Mouyondzi - Bouansa/ IT87"/>
    <s v="Transport"/>
    <s v="Investigation"/>
    <n v="3000"/>
    <n v="5.0319275804982615"/>
    <n v="596.19299999999998"/>
    <s v="IT87"/>
    <s v="IT87-J-R5"/>
    <s v="PALF"/>
    <x v="0"/>
    <s v="CONGO"/>
    <m/>
    <m/>
    <m/>
  </r>
  <r>
    <x v="20"/>
    <s v="P29 - CONGO Frais d'hotel du 24 au 26/01/2025 à kimongo ( 02 Nuitées)"/>
    <s v="Travel Subsistence"/>
    <s v="Investigation"/>
    <n v="30000"/>
    <n v="50.319275804982617"/>
    <n v="596.19299999999998"/>
    <s v="P29"/>
    <s v="P29-J-R11"/>
    <s v="PALF"/>
    <x v="0"/>
    <s v="CONGO"/>
    <m/>
    <m/>
    <m/>
  </r>
  <r>
    <x v="20"/>
    <s v="Achat billet kimongo-dolisie/P29"/>
    <s v="Transport"/>
    <s v="Investigation"/>
    <n v="6000"/>
    <n v="10.063855160996523"/>
    <n v="596.19299999999998"/>
    <s v="P29"/>
    <s v="P29-J-R12"/>
    <s v="PALF"/>
    <x v="0"/>
    <s v="CONGO"/>
    <m/>
    <m/>
    <m/>
  </r>
  <r>
    <x v="20"/>
    <s v="Achat billet dolisie-louvakou/P29"/>
    <s v="Transport"/>
    <s v="Investigation"/>
    <n v="5000"/>
    <n v="8.3865459674971028"/>
    <n v="596.19299999999998"/>
    <s v="P29"/>
    <s v="P29-J-R13"/>
    <s v="PALF"/>
    <x v="0"/>
    <s v="CONGO"/>
    <m/>
    <m/>
    <m/>
  </r>
  <r>
    <x v="20"/>
    <s v="T73 - CONGO Frais d'hotel du 24 au 26/01/2025 (02nuitées ) à MBanda"/>
    <s v="Travel Subsistence"/>
    <s v="Investigation"/>
    <n v="30000"/>
    <n v="50.319275804982617"/>
    <n v="596.19299999999998"/>
    <s v="T73"/>
    <s v="T73-J-R8"/>
    <s v="PALF"/>
    <x v="0"/>
    <s v="CONGO"/>
    <m/>
    <m/>
    <m/>
  </r>
  <r>
    <x v="20"/>
    <s v="achat billet : MBanda - kibangou/T73"/>
    <s v="Transport"/>
    <s v="Investigation"/>
    <n v="7000"/>
    <n v="11.741164354495943"/>
    <n v="596.19299999999998"/>
    <s v="T73"/>
    <s v="T73-J-R9"/>
    <s v="PALF"/>
    <x v="0"/>
    <s v="CONGO"/>
    <m/>
    <m/>
    <m/>
  </r>
  <r>
    <x v="20"/>
    <s v="G12 congo frais d'hotel du 24 au 26/01/2025   à mossendjo(2nuitées)"/>
    <s v="Travel Subsistence"/>
    <s v="Investigation"/>
    <n v="30000"/>
    <n v="50.319275804982617"/>
    <n v="596.19299999999998"/>
    <s v="G12"/>
    <s v="G12-J-R4"/>
    <s v="PALF"/>
    <x v="0"/>
    <s v="CONGO"/>
    <m/>
    <m/>
    <m/>
  </r>
  <r>
    <x v="20"/>
    <s v="Achat billet :Mossendjo makabana/G12"/>
    <s v="Transport"/>
    <s v="Investigation"/>
    <n v="5000"/>
    <n v="8.3865459674971028"/>
    <n v="596.19299999999998"/>
    <s v="G12"/>
    <s v="G12-J-R5"/>
    <s v="PALF"/>
    <x v="0"/>
    <s v="CONGO"/>
    <m/>
    <m/>
    <m/>
  </r>
  <r>
    <x v="21"/>
    <s v="Prime de fin d'année Donald-Roméo"/>
    <s v="Personnel"/>
    <s v="Legal"/>
    <n v="127070"/>
    <n v="213.13567921797136"/>
    <n v="596.19299999999998"/>
    <s v="Merveille"/>
    <s v="CA-J-D2"/>
    <s v="PALF"/>
    <x v="0"/>
    <s v="CONGO"/>
    <m/>
    <m/>
    <m/>
  </r>
  <r>
    <x v="21"/>
    <s v="Cumul frais de trust building du mois de Janvier 2025/IT87"/>
    <s v="Trust Building"/>
    <s v="Investigation"/>
    <n v="17500"/>
    <n v="30.690178266092612"/>
    <n v="570.21500000000003"/>
    <s v="IT87"/>
    <s v="IT87-J-D2"/>
    <s v="PALF"/>
    <x v="0"/>
    <s v="CONGO"/>
    <m/>
    <m/>
    <m/>
  </r>
  <r>
    <x v="21"/>
    <s v="Cumul frais de trust building du mois de Janvier 2025/G12"/>
    <s v="Trust Building"/>
    <s v="Investigation"/>
    <n v="6000"/>
    <n v="10.522346834088896"/>
    <n v="570.21500000000003"/>
    <s v="G12"/>
    <s v="G12-J-D2"/>
    <s v="PALF"/>
    <x v="0"/>
    <s v="CONGO"/>
    <m/>
    <m/>
    <m/>
  </r>
  <r>
    <x v="21"/>
    <s v="Bonus du mois de Janvier 2025/Donald-Roméo"/>
    <s v="Personnel"/>
    <s v="Legal"/>
    <n v="30000"/>
    <n v="50.319275804982617"/>
    <n v="596.19299999999998"/>
    <s v="Donald-Roméo"/>
    <s v="CA-J-D3"/>
    <s v="PALF"/>
    <x v="0"/>
    <s v="CONGO"/>
    <m/>
    <m/>
    <m/>
  </r>
  <r>
    <x v="21"/>
    <s v="Bonus Opération du 15/01/2025 à Owando"/>
    <s v="Bonus"/>
    <s v="Operation"/>
    <n v="30000"/>
    <n v="52.611734170444478"/>
    <n v="570.21500000000003"/>
    <s v="Donald-Roméo"/>
    <s v="CA-J-D4"/>
    <s v="PALF"/>
    <x v="0"/>
    <s v="CONGO"/>
    <m/>
    <m/>
    <m/>
  </r>
  <r>
    <x v="22"/>
    <s v="Paiement retraite Coordinateur periode Octobre,Novembre et Decembre 2024"/>
    <s v="Personnel"/>
    <s v="Management"/>
    <n v="150000"/>
    <n v="251.59637902491309"/>
    <n v="596.19299999999998"/>
    <s v="DOVI"/>
    <s v="CA-J-R33"/>
    <s v="PALF"/>
    <x v="0"/>
    <s v="CONGO"/>
    <m/>
    <m/>
    <m/>
  </r>
  <r>
    <x v="22"/>
    <s v="IT87 - CONGO Frais d'hôtel le Point de Repère du 26 au 28/01/2025 à Bouansa (02 Nuitées)"/>
    <s v="Travel Subsistence"/>
    <s v="Investigation"/>
    <n v="30000"/>
    <n v="50.319275804982617"/>
    <n v="596.19299999999998"/>
    <s v="IT87"/>
    <s v="IT87-J-R6"/>
    <s v="PALF"/>
    <x v="0"/>
    <s v="CONGO"/>
    <m/>
    <m/>
    <m/>
  </r>
  <r>
    <x v="22"/>
    <s v="Achat billet Bouansa - Madingou/ IT87"/>
    <s v="Transport"/>
    <s v="Investigation"/>
    <n v="2000"/>
    <n v="3.3546183869988409"/>
    <n v="596.19299999999998"/>
    <s v="IT87"/>
    <s v="IT87-J-R7"/>
    <s v="PALF"/>
    <x v="0"/>
    <s v="CONGO"/>
    <m/>
    <m/>
    <m/>
  </r>
  <r>
    <x v="22"/>
    <s v="P29 - CONGO Frais d'hotel du 26 au 28/01/2025 à louvakou (02 Nuitées)"/>
    <s v="Travel Subsistence"/>
    <s v="Investigation"/>
    <n v="30000"/>
    <n v="50.319275804982617"/>
    <n v="596.19299999999998"/>
    <s v="P29"/>
    <s v="P29-J-R14"/>
    <s v="PALF"/>
    <x v="0"/>
    <s v="CONGO"/>
    <m/>
    <m/>
    <m/>
  </r>
  <r>
    <x v="22"/>
    <s v="Achat billet louvakou-ditadi/P29"/>
    <s v="Transport"/>
    <s v="Investigation"/>
    <n v="5000"/>
    <n v="8.3865459674971028"/>
    <n v="596.19299999999998"/>
    <s v="P29"/>
    <s v="P29-J-R15"/>
    <s v="PALF"/>
    <x v="0"/>
    <s v="CONGO"/>
    <m/>
    <m/>
    <m/>
  </r>
  <r>
    <x v="22"/>
    <s v="T73 - CONGO Frais d'hotel du 26 au 28/01/2025 (02nuitées ) à Kibangou"/>
    <s v="Travel Subsistence"/>
    <s v="Investigation"/>
    <n v="30000"/>
    <n v="50.319275804982617"/>
    <n v="596.19299999999998"/>
    <s v="T73"/>
    <s v="T73-J-R10"/>
    <s v="PALF"/>
    <x v="0"/>
    <s v="CONGO"/>
    <m/>
    <m/>
    <m/>
  </r>
  <r>
    <x v="22"/>
    <s v="Achat billet : kibangou - Passi Passi/T73"/>
    <s v="Transport"/>
    <s v="Investigation"/>
    <n v="5000"/>
    <n v="8.3865459674971028"/>
    <n v="596.19299999999998"/>
    <s v="T73"/>
    <s v="T73-J-R11"/>
    <s v="PALF"/>
    <x v="0"/>
    <s v="CONGO"/>
    <m/>
    <m/>
    <m/>
  </r>
  <r>
    <x v="22"/>
    <s v="G12 - CONGO frais d'hotel du 26 au 28 /01/2025  à makabana (2nuitées)"/>
    <s v="Travel Subsistence"/>
    <s v="Investigation"/>
    <n v="30000"/>
    <n v="50.319275804982617"/>
    <n v="596.19299999999998"/>
    <s v="G12"/>
    <s v="G12-J-R6"/>
    <s v="PALF"/>
    <x v="0"/>
    <s v="CONGO"/>
    <m/>
    <m/>
    <m/>
  </r>
  <r>
    <x v="22"/>
    <s v="Achat du billet makabana  - mila mila/G12"/>
    <s v="Transport"/>
    <s v="Investigation"/>
    <n v="5000"/>
    <n v="8.3865459674971028"/>
    <n v="596.19299999999998"/>
    <s v="G12"/>
    <s v="G12-J-R7"/>
    <s v="PALF"/>
    <x v="0"/>
    <s v="CONGO"/>
    <m/>
    <m/>
    <m/>
  </r>
  <r>
    <x v="22"/>
    <s v="Achat carburant 100litre de Gazoil/Groupe electrogène PALF"/>
    <s v="Office Materials"/>
    <s v="Office"/>
    <n v="62500"/>
    <n v="104.83182459371379"/>
    <n v="596.19299999999998"/>
    <s v="Roderlin"/>
    <s v="CA-J-R32"/>
    <s v="PALF"/>
    <x v="0"/>
    <s v="CONGO"/>
    <m/>
    <m/>
    <m/>
  </r>
  <r>
    <x v="22"/>
    <s v="Frais de virement salaire Janvier 2025"/>
    <s v="Bank fees"/>
    <s v="Office"/>
    <n v="10665"/>
    <n v="17.888502548671319"/>
    <n v="596.19299999999998"/>
    <s v="BCI"/>
    <s v="BQ-J-R12"/>
    <s v="PALF"/>
    <x v="0"/>
    <s v="CONGO"/>
    <m/>
    <m/>
    <m/>
  </r>
  <r>
    <x v="23"/>
    <s v="Règlement prestation technicienne de surface (mois de Janvier 2025)"/>
    <s v="Services"/>
    <s v="Office"/>
    <n v="75625"/>
    <n v="126.84650775839368"/>
    <n v="596.19299999999998"/>
    <s v="Merveille"/>
    <s v="CA-J-R34"/>
    <s v="PALF"/>
    <x v="0"/>
    <s v="CONGO"/>
    <m/>
    <m/>
    <m/>
  </r>
  <r>
    <x v="23"/>
    <s v="P29 - CONGO Frais d'hotel du 28 au 29/01/2025 à Ditadi/ 01 Nuitée"/>
    <s v="Travel Subsistence"/>
    <s v="Investigation"/>
    <n v="15000"/>
    <n v="25.159637902491308"/>
    <n v="596.19299999999998"/>
    <s v="P29"/>
    <s v="P29-J-R16"/>
    <s v="PALF"/>
    <x v="0"/>
    <s v="CONGO"/>
    <m/>
    <m/>
    <m/>
  </r>
  <r>
    <x v="23"/>
    <s v="Achat billet ditadi-dolisie/P29"/>
    <s v="Transport"/>
    <s v="Investigation"/>
    <n v="3000"/>
    <n v="5.0319275804982615"/>
    <n v="596.19299999999998"/>
    <s v="P29"/>
    <s v="P29-J-R17"/>
    <s v="PALF"/>
    <x v="0"/>
    <s v="CONGO"/>
    <m/>
    <m/>
    <m/>
  </r>
  <r>
    <x v="23"/>
    <s v="Cumul frais de trust building du mois de Janvier 2025/P29"/>
    <s v="Trust Building"/>
    <s v="Investigation"/>
    <n v="70200"/>
    <n v="123.11145795884008"/>
    <n v="570.21500000000003"/>
    <s v="P29"/>
    <s v="P29-J-D3"/>
    <s v="PALF"/>
    <x v="0"/>
    <s v="CONGO"/>
    <m/>
    <m/>
    <m/>
  </r>
  <r>
    <x v="23"/>
    <s v="Achat  billet : Passi Passi pour Dolisie/T73"/>
    <s v="Transport"/>
    <s v="Investigation"/>
    <n v="2500"/>
    <n v="4.1932729837485514"/>
    <n v="596.19299999999998"/>
    <s v="T73"/>
    <s v="T73-J-R12"/>
    <s v="PALF"/>
    <x v="0"/>
    <s v="CONGO"/>
    <m/>
    <m/>
    <m/>
  </r>
  <r>
    <x v="23"/>
    <s v="T73 - CONGO Frais d'hotel du 28 au 29/01/2025 (01nuitée ) à Passi Passi"/>
    <s v="Travel Subsistence"/>
    <s v="Investigation"/>
    <n v="15000"/>
    <n v="25.159637902491308"/>
    <n v="596.19299999999998"/>
    <s v="T73"/>
    <s v="T73-J-R13"/>
    <s v="PALF"/>
    <x v="0"/>
    <s v="CONGO"/>
    <m/>
    <m/>
    <m/>
  </r>
  <r>
    <x v="23"/>
    <s v="Cumul frais de trust building du mois de Janvier 2025/T73"/>
    <s v="Trust Building"/>
    <s v="Investigation"/>
    <n v="32000"/>
    <n v="56.119183115140778"/>
    <n v="570.21500000000003"/>
    <s v="T73"/>
    <s v="T73-J-D3"/>
    <s v="PALF"/>
    <x v="0"/>
    <s v="CONGO"/>
    <m/>
    <m/>
    <m/>
  </r>
  <r>
    <x v="23"/>
    <s v="G12-CONGO frais d'hotel du 28 au 29 /01/2025 à  mila mila( 1 nuitée)"/>
    <s v="Travel Subsistence"/>
    <s v="Investigation"/>
    <n v="15000"/>
    <n v="25.159637902491308"/>
    <n v="596.19299999999998"/>
    <s v="G12"/>
    <s v="G12-J-R8"/>
    <s v="PALF"/>
    <x v="0"/>
    <s v="CONGO"/>
    <m/>
    <m/>
    <m/>
  </r>
  <r>
    <x v="23"/>
    <s v="Achat du billet mila mila -dolisie/G12"/>
    <s v="Transport"/>
    <s v="Investigation"/>
    <n v="3000"/>
    <n v="5.0319275804982615"/>
    <n v="596.19299999999998"/>
    <s v="G12"/>
    <s v="G12-J-R9"/>
    <s v="PALF"/>
    <x v="0"/>
    <s v="CONGO"/>
    <m/>
    <m/>
    <m/>
  </r>
  <r>
    <x v="23"/>
    <s v="G12 - CONGO frais d'hotel du 29 au 30 /01/2025 à  Dolisie( 1 nuitée)"/>
    <s v="Travel Subsistence"/>
    <s v="Investigation"/>
    <n v="15000"/>
    <n v="25.159637902491308"/>
    <n v="596.19299999999998"/>
    <s v="G12"/>
    <s v="G12-J-R10"/>
    <s v="PALF"/>
    <x v="0"/>
    <s v="CONGO"/>
    <m/>
    <m/>
    <m/>
  </r>
  <r>
    <x v="24"/>
    <s v="IT87 - CONGO Frais d'hôtel Dzongo Benoit du 28 au 30/01/2025 à Madingou (02 Nuitées)"/>
    <s v="Travel Subsistence"/>
    <s v="Investigation"/>
    <n v="30000"/>
    <n v="50.319275804982617"/>
    <n v="596.19299999999998"/>
    <s v="IT87"/>
    <s v="IT87-J-R8"/>
    <s v="PALF"/>
    <x v="0"/>
    <s v="CONGO"/>
    <m/>
    <m/>
    <m/>
  </r>
  <r>
    <x v="24"/>
    <s v="Achat billet Madingou - Brazzaville/ IT87"/>
    <s v="Transport"/>
    <s v="Investigation"/>
    <n v="7000"/>
    <n v="11.741164354495943"/>
    <n v="596.19299999999998"/>
    <s v="IT87"/>
    <s v="IT87-J-R9"/>
    <s v="PALF"/>
    <x v="0"/>
    <s v="CONGO"/>
    <m/>
    <m/>
    <m/>
  </r>
  <r>
    <x v="24"/>
    <s v="Cumul frais de transport local du mois de Janvier 2025/IT87"/>
    <s v="Transport"/>
    <s v="Investigation"/>
    <n v="39300"/>
    <n v="65.918251304527232"/>
    <n v="596.19299999999998"/>
    <s v="IT87"/>
    <s v="IT87-J-D3"/>
    <s v="PALF"/>
    <x v="0"/>
    <s v="CONGO"/>
    <m/>
    <m/>
    <m/>
  </r>
  <r>
    <x v="24"/>
    <s v="Achat billet Dolisie-Brazzaville/P29"/>
    <s v="Transport"/>
    <s v="Investigation"/>
    <n v="7000"/>
    <n v="11.741164354495943"/>
    <n v="596.19299999999998"/>
    <s v="P29"/>
    <s v="P29-J-R18"/>
    <s v="PALF"/>
    <x v="0"/>
    <s v="CONGO"/>
    <m/>
    <m/>
    <m/>
  </r>
  <r>
    <x v="24"/>
    <s v="P29 - CONGO Frais d'hotel du 29 au 30/01/2025 à Dolisie (01 Nuitée)"/>
    <s v="Travel Subsistence"/>
    <s v="Investigation"/>
    <n v="15000"/>
    <n v="25.159637902491308"/>
    <n v="596.19299999999998"/>
    <s v="P29"/>
    <s v="P29-J-R19"/>
    <s v="PALF"/>
    <x v="0"/>
    <s v="CONGO"/>
    <m/>
    <m/>
    <m/>
  </r>
  <r>
    <x v="24"/>
    <s v="Cumul frais de transport local du mois de Janvier 2025/P29"/>
    <s v="Transport"/>
    <s v="Investigation"/>
    <n v="54800"/>
    <n v="91.916543803768249"/>
    <n v="596.19299999999998"/>
    <s v="P29"/>
    <s v="P29-J-D4"/>
    <s v="PALF"/>
    <x v="0"/>
    <s v="CONGO"/>
    <m/>
    <m/>
    <m/>
  </r>
  <r>
    <x v="24"/>
    <s v="T73 - CONGO Frais d'hotel du 29 au 30/01/2025 (01nuitées ) à Dolisie"/>
    <s v="Travel Subsistence"/>
    <s v="Investigation"/>
    <n v="15000"/>
    <n v="25.159637902491308"/>
    <n v="596.19299999999998"/>
    <s v="T73"/>
    <s v="T73-J-R14"/>
    <s v="PALF"/>
    <x v="0"/>
    <s v="CONGO"/>
    <m/>
    <m/>
    <m/>
  </r>
  <r>
    <x v="24"/>
    <s v="Achat billet : Dolisie - Brazzaville/ T73"/>
    <s v="Transport"/>
    <s v="Investigation"/>
    <n v="8000"/>
    <n v="13.418473547995363"/>
    <n v="596.19299999999998"/>
    <s v="T73"/>
    <s v="T73-J-R15"/>
    <s v="PALF"/>
    <x v="0"/>
    <s v="CONGO"/>
    <m/>
    <m/>
    <m/>
  </r>
  <r>
    <x v="24"/>
    <s v="Cumul frais de transport local du mois de Janvier 2025/T73"/>
    <s v="Transport"/>
    <s v="Investigation"/>
    <n v="63400"/>
    <n v="106.34140286786327"/>
    <n v="596.19299999999998"/>
    <s v="T73"/>
    <s v="T73-J-D4"/>
    <s v="PALF"/>
    <x v="0"/>
    <s v="CONGO"/>
    <m/>
    <m/>
    <m/>
  </r>
  <r>
    <x v="24"/>
    <s v="Achat billet : Dolisie - brazzaville/G12"/>
    <s v="Transport"/>
    <s v="Investigation"/>
    <n v="8000"/>
    <n v="13.418473547995363"/>
    <n v="596.19299999999998"/>
    <s v="G12"/>
    <s v="G12-J-R11"/>
    <s v="PALF"/>
    <x v="0"/>
    <s v="CONGO"/>
    <m/>
    <m/>
    <m/>
  </r>
  <r>
    <x v="24"/>
    <s v="Cumul frais de transport local du mois Janvier 2025/G12"/>
    <s v="Transport"/>
    <s v="Investigation"/>
    <n v="38500"/>
    <n v="64.576403949727691"/>
    <n v="596.19299999999998"/>
    <s v="G12"/>
    <s v="G12-J-D3"/>
    <s v="PALF"/>
    <x v="0"/>
    <s v="CONGO"/>
    <m/>
    <m/>
    <m/>
  </r>
  <r>
    <x v="24"/>
    <s v="Cumul frais de transport local du mois de Janvier 2025/Roderlin"/>
    <s v="Transport"/>
    <s v="Legal"/>
    <n v="33500"/>
    <n v="56.189857982230585"/>
    <n v="596.19299999999998"/>
    <s v="Roderlin"/>
    <s v="RO-J-D3"/>
    <s v="PALF"/>
    <x v="0"/>
    <s v="CONGO"/>
    <m/>
    <m/>
    <m/>
  </r>
  <r>
    <x v="24"/>
    <s v="Cumul frais de transport local du mois de Janvier 2025/EVARISTE"/>
    <s v="Transport"/>
    <s v="Media"/>
    <n v="24500"/>
    <n v="41.094075240735805"/>
    <n v="596.19299999999998"/>
    <s v="Evariste"/>
    <s v="EV-J-D2"/>
    <s v="PALF"/>
    <x v="0"/>
    <s v="CONGO"/>
    <m/>
    <m/>
    <m/>
  </r>
  <r>
    <x v="24"/>
    <s v="Bonus media portant sur le bilan des interpellation de 2023 et 2024"/>
    <s v="Bonus to media office"/>
    <s v="Media"/>
    <n v="148000"/>
    <n v="248.24176063791424"/>
    <n v="596.19299999999998"/>
    <s v="Evariste"/>
    <s v="CA-J-D5"/>
    <s v="PALF"/>
    <x v="0"/>
    <s v="CONGO"/>
    <m/>
    <m/>
    <m/>
  </r>
  <r>
    <x v="25"/>
    <s v="Cumul frais de transport local du mois de Janvier 2025/DOVI"/>
    <s v="Transport"/>
    <s v="Management"/>
    <n v="25500"/>
    <n v="42.771384434235223"/>
    <n v="596.19299999999998"/>
    <s v="DOVI"/>
    <s v="DH-J-D1"/>
    <s v="PALF"/>
    <x v="0"/>
    <s v="CONGO"/>
    <m/>
    <m/>
    <m/>
  </r>
  <r>
    <x v="25"/>
    <s v="Reglement loyer du mois de Janvier 2025/DOVI Coordinateur PALF"/>
    <s v="Personnel"/>
    <s v="Management"/>
    <n v="174625"/>
    <n v="292.9001179148363"/>
    <n v="596.19299999999998"/>
    <s v="DOVI"/>
    <s v="DH-J-R3"/>
    <s v="PALF"/>
    <x v="0"/>
    <s v="CONGO"/>
    <m/>
    <m/>
    <m/>
  </r>
  <r>
    <x v="25"/>
    <s v="Cumul frais de transport local du mois de Janvier 2025/Merveille"/>
    <s v="Transport"/>
    <s v="Office"/>
    <n v="41000"/>
    <n v="68.769676933476248"/>
    <n v="596.19299999999998"/>
    <s v="Merveille"/>
    <s v="ME-J-D1"/>
    <s v="PALF"/>
    <x v="0"/>
    <s v="CONGO"/>
    <m/>
    <m/>
    <m/>
  </r>
  <r>
    <x v="25"/>
    <s v="Ramassage Ordure/bureau PALF"/>
    <s v="Services"/>
    <s v="Office"/>
    <n v="6000"/>
    <n v="10.063855160996523"/>
    <n v="596.19299999999998"/>
    <s v="Merveille"/>
    <s v="CA-J-R35"/>
    <s v="PALF"/>
    <x v="0"/>
    <s v="CONGO"/>
    <m/>
    <m/>
    <m/>
  </r>
  <r>
    <x v="25"/>
    <s v="Reglement facture internet perionde du 01/02 au 28/02/2025 bureau PALF"/>
    <s v="Internet "/>
    <s v="Office"/>
    <n v="45050"/>
    <n v="75.562779167148889"/>
    <n v="596.19299999999998"/>
    <s v="Merveille"/>
    <s v="CA-J-R36"/>
    <s v="PALF"/>
    <x v="0"/>
    <s v="CONGO"/>
    <m/>
    <m/>
    <m/>
  </r>
  <r>
    <x v="25"/>
    <s v="Cumul frais de transport local du mois de Janvier 2025/LOUNDOU Jean Romain"/>
    <s v="Transport"/>
    <s v="Legal"/>
    <n v="38000"/>
    <n v="63.737749352977978"/>
    <n v="596.19299999999998"/>
    <s v="Romain"/>
    <s v="RM-J-D3"/>
    <s v="PALF"/>
    <x v="0"/>
    <s v="CONGO"/>
    <m/>
    <m/>
    <m/>
  </r>
  <r>
    <x v="25"/>
    <s v="Installation Pack office et activation et installation des pratiques logiques"/>
    <s v="Website and software"/>
    <s v="Office"/>
    <n v="50000"/>
    <n v="83.865459674971021"/>
    <n v="596.19299999999998"/>
    <s v="Abraham"/>
    <s v="CA-J-R37"/>
    <s v="PALF"/>
    <x v="0"/>
    <s v="CONGO"/>
    <m/>
    <m/>
    <m/>
  </r>
  <r>
    <x v="25"/>
    <s v="Reglement honoraire du mois de Janvier 2025/G12"/>
    <s v="Personnel"/>
    <s v="Investigation"/>
    <n v="255000"/>
    <n v="427.71384434235222"/>
    <n v="596.19299999999998"/>
    <s v="BCI"/>
    <s v="BQ-J-R15"/>
    <s v="PALF"/>
    <x v="0"/>
    <s v="CONGO"/>
    <m/>
    <m/>
    <m/>
  </r>
  <r>
    <x v="25"/>
    <s v="Reglement honoraire du mois de Janvier 2025/T73"/>
    <s v="Personnel"/>
    <s v="Investigation"/>
    <n v="335000"/>
    <n v="561.89857982230592"/>
    <n v="596.19299999999998"/>
    <s v="BCI"/>
    <s v="BQ-J-R16"/>
    <s v="PALF"/>
    <x v="0"/>
    <s v="CONGO"/>
    <m/>
    <m/>
    <m/>
  </r>
  <r>
    <x v="25"/>
    <s v="Reglement honoraire du mois de Janvier 2025/P29"/>
    <s v="Personnel"/>
    <s v="Investigation"/>
    <n v="400000"/>
    <n v="670.92367739976817"/>
    <n v="596.19299999999998"/>
    <s v="BCI"/>
    <s v="BQ-J-R17"/>
    <s v="PALF"/>
    <x v="0"/>
    <s v="CONGO"/>
    <m/>
    <m/>
    <m/>
  </r>
  <r>
    <x v="25"/>
    <s v="Reglement honoraire du mois de Janvier 2025/TIT87"/>
    <s v="Personnel"/>
    <s v="Investigation"/>
    <n v="255000"/>
    <n v="427.71384434235222"/>
    <n v="596.19299999999998"/>
    <s v="BCI"/>
    <s v="BQ-J-R18"/>
    <s v="PALF"/>
    <x v="0"/>
    <s v="CONGO"/>
    <m/>
    <m/>
    <m/>
  </r>
  <r>
    <x v="26"/>
    <s v="Achat credit  teléphonique MTN/PALF/Première partie du mois de Février 2025/Management"/>
    <s v="Telephone"/>
    <s v="Management"/>
    <n v="42000"/>
    <n v="70.446986126975659"/>
    <n v="596.19299999999998"/>
    <s v="Merveille"/>
    <s v="CA-F-R1"/>
    <s v="PALF"/>
    <x v="0"/>
    <s v="CONGO"/>
    <m/>
    <m/>
    <m/>
  </r>
  <r>
    <x v="26"/>
    <s v="Achat credit  teléphonique MTN/PALF/Première partie du mois de Février 2025/Legal"/>
    <s v="Telephone"/>
    <s v="Legal"/>
    <n v="74000"/>
    <n v="124.12088031895712"/>
    <n v="596.19299999999998"/>
    <s v="Merveille"/>
    <s v="CA-F-R2"/>
    <s v="PALF"/>
    <x v="0"/>
    <s v="CONGO"/>
    <m/>
    <m/>
    <m/>
  </r>
  <r>
    <x v="26"/>
    <s v="Achat credit  teléphonique MTN/PALF/Première partie du mois de Février 2025/Investigation"/>
    <s v="Telephone"/>
    <s v="Investigation"/>
    <n v="88000"/>
    <n v="147.60320902794902"/>
    <n v="596.19299999999998"/>
    <s v="Merveille"/>
    <s v="CA-F-R3"/>
    <s v="PALF"/>
    <x v="0"/>
    <s v="CONGO"/>
    <m/>
    <m/>
    <m/>
  </r>
  <r>
    <x v="26"/>
    <s v="Achat credit  teléphonique MTN/PALF/Première partie du mois de Février 2025/Media"/>
    <s v="Telephone"/>
    <s v="Media"/>
    <n v="10000"/>
    <n v="16.773091934994206"/>
    <n v="596.19299999999998"/>
    <s v="Merveille"/>
    <s v="CA-F-R4"/>
    <s v="PALF"/>
    <x v="0"/>
    <s v="CONGO"/>
    <m/>
    <m/>
    <m/>
  </r>
  <r>
    <x v="26"/>
    <s v="Achat credit  teléphonique Airtel/PALF/Première partie du mois de Février 2025/Legal"/>
    <s v="Telephone"/>
    <s v="Legal"/>
    <n v="10000"/>
    <n v="16.773091934994206"/>
    <n v="596.19299999999998"/>
    <s v="Merveille"/>
    <s v="CA-F-R5"/>
    <s v="PALF"/>
    <x v="0"/>
    <s v="CONGO"/>
    <m/>
    <m/>
    <m/>
  </r>
  <r>
    <x v="26"/>
    <s v="Achat credit  teléphonique Airtel/PALF/Première partie du mois de Février 2025/Investigation"/>
    <s v="Telephone"/>
    <s v="Investigation"/>
    <n v="16000"/>
    <n v="26.836947095990727"/>
    <n v="596.19299999999998"/>
    <s v="Merveille"/>
    <s v="CA-F-R6"/>
    <s v="PALF"/>
    <x v="0"/>
    <s v="CONGO"/>
    <m/>
    <m/>
    <m/>
  </r>
  <r>
    <x v="26"/>
    <s v="Achat credit  teléphonique Airtel/PALF/Première partie du mois de Février 2025/Media"/>
    <s v="Telephone"/>
    <s v="Media"/>
    <n v="11000"/>
    <n v="18.450401128493628"/>
    <n v="596.19299999999998"/>
    <s v="Merveille"/>
    <s v="CA-F-R7"/>
    <s v="PALF"/>
    <x v="0"/>
    <s v="CONGO"/>
    <m/>
    <m/>
    <m/>
  </r>
  <r>
    <x v="27"/>
    <s v="Achat  Billet  Brazzaville-Owando/Romain"/>
    <s v="Transport"/>
    <s v="Legal"/>
    <n v="7000"/>
    <n v="11.741164354495943"/>
    <n v="596.19299999999998"/>
    <s v="Romain"/>
    <s v="RM-F-R1"/>
    <s v="PALF"/>
    <x v="0"/>
    <s v="CONGO"/>
    <m/>
    <m/>
    <m/>
  </r>
  <r>
    <x v="27"/>
    <s v="Frais de mission maitre Alain BANZOUZI du 05 au 07 Février 2025 à Owando suivi audience"/>
    <s v="Lawyer Fees"/>
    <s v="Legal"/>
    <n v="70000"/>
    <n v="117.41164354495943"/>
    <n v="596.19299999999998"/>
    <s v="Romain"/>
    <s v="CA-F-R8"/>
    <s v="PALF"/>
    <x v="0"/>
    <s v="CONGO"/>
    <m/>
    <m/>
    <m/>
  </r>
  <r>
    <x v="27"/>
    <s v=" Achat billet Brazzaville- Owando/Roderlin"/>
    <s v="Transport"/>
    <s v="Legal"/>
    <n v="7000"/>
    <n v="11.741164354495943"/>
    <n v="596.19299999999998"/>
    <s v="Roderlin"/>
    <s v="RO-F-R1"/>
    <s v="PALF"/>
    <x v="0"/>
    <s v="CONGO"/>
    <m/>
    <m/>
    <m/>
  </r>
  <r>
    <x v="27"/>
    <s v="Reglement Facture Gardiennage Mois de Janvier 2025/36564792"/>
    <s v="Services"/>
    <s v="Office"/>
    <n v="260000"/>
    <n v="436.10039030984933"/>
    <n v="596.19299999999998"/>
    <s v="BCI"/>
    <s v="BQ-F-R1"/>
    <s v="PALF"/>
    <x v="0"/>
    <s v="CONGO"/>
    <m/>
    <m/>
    <m/>
  </r>
  <r>
    <x v="27"/>
    <s v="Achat billet Brazzaville - Makoua/ IT87"/>
    <s v="Transport"/>
    <s v="Investigation"/>
    <n v="9000"/>
    <n v="15.095782741494785"/>
    <n v="596.19299999999998"/>
    <s v="IT87"/>
    <s v="IT87-F-R1"/>
    <s v="PALF"/>
    <x v="0"/>
    <s v="CONGO"/>
    <m/>
    <m/>
    <m/>
  </r>
  <r>
    <x v="28"/>
    <s v="Achat billet brazzaville-oyo/P29"/>
    <s v="Transport"/>
    <s v="Investigation"/>
    <n v="6000"/>
    <n v="10.063855160996523"/>
    <n v="596.19299999999998"/>
    <s v="P29"/>
    <s v="P29-F-R1"/>
    <s v="PALF"/>
    <x v="0"/>
    <s v="CONGO"/>
    <m/>
    <m/>
    <m/>
  </r>
  <r>
    <x v="28"/>
    <s v="Achat eau mineral 16 LITRES/Bureau"/>
    <s v="Office Materials"/>
    <s v="Office"/>
    <n v="25000"/>
    <n v="41.93272983748551"/>
    <n v="596.19299999999998"/>
    <s v="Merveille"/>
    <s v="CA-F-R9"/>
    <s v="PALF"/>
    <x v="0"/>
    <s v="CONGO"/>
    <m/>
    <m/>
    <m/>
  </r>
  <r>
    <x v="28"/>
    <s v="Achat produit d'entretien lait,sucre,javel,papier toilette,sucre,café/Bureau PALF"/>
    <s v="Office Materials"/>
    <s v="Office"/>
    <n v="63000"/>
    <n v="105.6704791904635"/>
    <n v="596.19299999999998"/>
    <s v="Merveille"/>
    <s v="CA-F-R10"/>
    <s v="PALF"/>
    <x v="0"/>
    <s v="CONGO"/>
    <m/>
    <m/>
    <m/>
  </r>
  <r>
    <x v="28"/>
    <s v="P29 - CONGO Ration  du 05 au 28/02/2025 à Oyo,Tchikapika et Owando(23 Nuitées)"/>
    <s v="Travel Subsistence"/>
    <s v="Investigation"/>
    <n v="230000"/>
    <n v="385.78111450486671"/>
    <n v="596.19299999999998"/>
    <s v="P29"/>
    <s v="P29-F-D1"/>
    <s v="PALF"/>
    <x v="0"/>
    <s v="CONGO"/>
    <m/>
    <m/>
    <m/>
  </r>
  <r>
    <x v="28"/>
    <s v="IT87 - CONGO Ration du 05 au 12/02/2025 à Makoua,etoumbi,Otende"/>
    <s v="Travel Subsistence"/>
    <s v="Investigation"/>
    <n v="70000"/>
    <n v="117.41164354495943"/>
    <n v="596.19299999999998"/>
    <s v="IT87"/>
    <s v="IT87-F-D1"/>
    <s v="PALF"/>
    <x v="0"/>
    <s v="CONGO"/>
    <m/>
    <m/>
    <m/>
  </r>
  <r>
    <x v="28"/>
    <s v="Achat billet Makoua - Etoumbi/ IT87"/>
    <s v="Transport"/>
    <s v="Investigation"/>
    <n v="5000"/>
    <n v="8.3865459674971028"/>
    <n v="596.19299999999998"/>
    <s v="IT87"/>
    <s v="IT87-F-R1"/>
    <s v="PALF"/>
    <x v="0"/>
    <s v="CONGO"/>
    <m/>
    <m/>
    <m/>
  </r>
  <r>
    <x v="28"/>
    <s v="ROMAIN-CONGO: Ration du 05 au 07/02/2025 à Owando"/>
    <s v="Travel Subsistence"/>
    <s v="Legal"/>
    <n v="20000"/>
    <n v="33.546183869988411"/>
    <n v="596.19299999999998"/>
    <s v="Romain"/>
    <s v="RM-F-D1"/>
    <s v="PALF"/>
    <x v="0"/>
    <s v="CONGO"/>
    <m/>
    <m/>
    <m/>
  </r>
  <r>
    <x v="28"/>
    <s v="RODERLIN-CONGO Ration du 05 au 07/02/2025 à Owando (02 nuitées)"/>
    <s v="Travel Subsistence"/>
    <s v="Legal"/>
    <n v="20000"/>
    <n v="33.546183869988411"/>
    <n v="596.19299999999998"/>
    <s v="Roderlin"/>
    <s v="RO-F-D1"/>
    <s v="PALF"/>
    <x v="0"/>
    <s v="CONGO"/>
    <m/>
    <m/>
    <m/>
  </r>
  <r>
    <x v="28"/>
    <s v="Reglement loyer du mois de Janvier 2025/3654789"/>
    <s v="Rent &amp; Utilities"/>
    <s v="Office"/>
    <n v="500000"/>
    <n v="838.65459674971032"/>
    <n v="596.19299999999998"/>
    <s v="BCI"/>
    <s v="BQ-F-R2"/>
    <s v="PALF"/>
    <x v="0"/>
    <s v="CONGO"/>
    <m/>
    <m/>
    <m/>
  </r>
  <r>
    <x v="29"/>
    <s v="Achat billet : Brazzaville - Makoua/T73"/>
    <s v="Transport"/>
    <s v="Investigation"/>
    <n v="9000"/>
    <n v="15.095782741494785"/>
    <n v="596.19299999999998"/>
    <s v="T73"/>
    <s v="T73-F-R1"/>
    <s v="PALF"/>
    <x v="0"/>
    <s v="CONGO"/>
    <m/>
    <m/>
    <m/>
  </r>
  <r>
    <x v="29"/>
    <s v="T73 - CONGO Ration du 06 au 28/12/2024 (22nuitées)à Makoua et Owando"/>
    <s v="Travel Subsistence"/>
    <s v="Investigation"/>
    <n v="190000"/>
    <n v="318.68874676488991"/>
    <n v="596.19299999999998"/>
    <s v="T73"/>
    <s v="T73-F-D1"/>
    <s v="PALF"/>
    <x v="0"/>
    <s v="CONGO"/>
    <m/>
    <m/>
    <m/>
  </r>
  <r>
    <x v="29"/>
    <s v="Bonus media portant sur l'audience du 06 Février au TG1 d'Owando"/>
    <s v="Bonus to media office"/>
    <s v="Media"/>
    <n v="148000"/>
    <n v="248.24176063791424"/>
    <n v="596.19299999999998"/>
    <s v="Evariste"/>
    <s v="CA-F-D1"/>
    <s v="PALF"/>
    <x v="0"/>
    <s v="CONGO"/>
    <m/>
    <m/>
    <m/>
  </r>
  <r>
    <x v="30"/>
    <s v="Achat billet oyo-tchikapika/P29"/>
    <s v="Transport"/>
    <s v="Investigation"/>
    <n v="5000"/>
    <n v="8.3865459674971028"/>
    <n v="596.19299999999998"/>
    <s v="P29"/>
    <s v="P29-F-R2"/>
    <s v="PALF"/>
    <x v="0"/>
    <s v="CONGO"/>
    <m/>
    <m/>
    <m/>
  </r>
  <r>
    <x v="30"/>
    <s v="P29 - CONGO Frais d'hotel du 05 au 07/02/2025 à oyo(02 Nuitées)"/>
    <s v="Travel Subsistence"/>
    <s v="Investigation"/>
    <n v="30000"/>
    <n v="50.319275804982617"/>
    <n v="596.19299999999998"/>
    <s v="P29"/>
    <s v="P29-F-R3"/>
    <s v="PALF"/>
    <x v="0"/>
    <s v="CONGO"/>
    <m/>
    <m/>
    <m/>
  </r>
  <r>
    <x v="30"/>
    <s v="IT87 - CONGO Frais d'hôtel Akoua du 05 au 07/02/2025 à Etoumbi (02 nuitées)"/>
    <s v="Travel Subsistence"/>
    <s v="Investigation"/>
    <n v="30000"/>
    <n v="50.319275804982617"/>
    <n v="596.19299999999998"/>
    <s v="IT87"/>
    <s v="IT87-F-R1"/>
    <s v="PALF"/>
    <x v="0"/>
    <s v="CONGO"/>
    <m/>
    <m/>
    <m/>
  </r>
  <r>
    <x v="30"/>
    <s v="Achat billet Etoumbi - Makoua/ IT87"/>
    <s v="Transport"/>
    <s v="Investigation"/>
    <n v="5000"/>
    <n v="8.3865459674971028"/>
    <n v="596.19299999999998"/>
    <s v="IT87"/>
    <s v="IT87-F-R2"/>
    <s v="PALF"/>
    <x v="0"/>
    <s v="CONGO"/>
    <m/>
    <m/>
    <m/>
  </r>
  <r>
    <x v="30"/>
    <s v="Achat billet Makoua - Otende/ IT87"/>
    <s v="Transport"/>
    <s v="Investigation"/>
    <n v="4500"/>
    <n v="7.5478913707473927"/>
    <n v="596.19299999999998"/>
    <s v="IT87"/>
    <s v="IT87-F-R3"/>
    <s v="PALF"/>
    <x v="0"/>
    <s v="CONGO"/>
    <m/>
    <m/>
    <m/>
  </r>
  <r>
    <x v="30"/>
    <s v="Achat billet retour Owando-Brazzaville/Romain"/>
    <s v="Transport"/>
    <s v="Legal"/>
    <n v="7000"/>
    <n v="11.741164354495943"/>
    <n v="596.19299999999998"/>
    <s v="Romain"/>
    <s v="RM-F-R2"/>
    <s v="PALF"/>
    <x v="0"/>
    <s v="CONGO"/>
    <m/>
    <m/>
    <m/>
  </r>
  <r>
    <x v="30"/>
    <s v="ROMAIN - CONGO Frais d'hotel du 05 au 07/02/2025 à Owando(2 nuitées)"/>
    <s v="Travel Subsistence"/>
    <s v="Legal"/>
    <n v="30000"/>
    <n v="50.319275804982617"/>
    <n v="596.19299999999998"/>
    <s v="Romain"/>
    <s v="RM-F-R3"/>
    <s v="PALF"/>
    <x v="0"/>
    <s v="CONGO"/>
    <m/>
    <m/>
    <m/>
  </r>
  <r>
    <x v="30"/>
    <s v="Achat billet Owando- Brazzaville /Roderlin"/>
    <s v="Transport"/>
    <s v="Legal"/>
    <n v="7000"/>
    <n v="11.741164354495943"/>
    <n v="596.19299999999998"/>
    <s v="Roderlin"/>
    <s v="RO-F-R2"/>
    <s v="PALF"/>
    <x v="0"/>
    <s v="CONGO"/>
    <m/>
    <m/>
    <m/>
  </r>
  <r>
    <x v="30"/>
    <s v="RODERLIN-CONGO frais d'hôtel du 05 au 07/02/2025 à Owando (02 nuitées)"/>
    <s v="Travel Subsistence"/>
    <s v="Legal"/>
    <n v="30000"/>
    <n v="50.319275804982617"/>
    <n v="596.19299999999998"/>
    <s v="Roderlin"/>
    <s v="RO-F-R3"/>
    <s v="PALF"/>
    <x v="0"/>
    <s v="CONGO"/>
    <m/>
    <m/>
    <m/>
  </r>
  <r>
    <x v="30"/>
    <s v="Frais de transfert d'argent à T73"/>
    <s v="Transfer fees"/>
    <s v="Office"/>
    <n v="4830.0000000000009"/>
    <n v="8.1014034046022019"/>
    <n v="596.19299999999998"/>
    <s v="Abraham"/>
    <s v="CA-F-R11"/>
    <s v="PALF"/>
    <x v="0"/>
    <s v="CONGO"/>
    <m/>
    <m/>
    <m/>
  </r>
  <r>
    <x v="30"/>
    <s v="Frais de transfert d'argent à P29 et IT87"/>
    <s v="Transfer fees"/>
    <s v="Office"/>
    <n v="13615"/>
    <n v="22.180704562790044"/>
    <n v="613.82180000000005"/>
    <s v="Roderlin"/>
    <s v="CA-F-R32"/>
    <s v="PALF"/>
    <x v="1"/>
    <s v="CONGO"/>
    <m/>
    <m/>
    <m/>
  </r>
  <r>
    <x v="31"/>
    <s v="Achat billet :Brazzaville -loudima /G12"/>
    <s v="Transport"/>
    <s v="Investigation"/>
    <n v="8000"/>
    <n v="13.418473547995363"/>
    <n v="596.19299999999998"/>
    <s v="G12"/>
    <s v="G12-F-R1"/>
    <s v="PALF"/>
    <x v="0"/>
    <s v="CONGO"/>
    <m/>
    <m/>
    <m/>
  </r>
  <r>
    <x v="31"/>
    <s v="G12 - CONGO  Ration du 08 au 15 /02/2025(07 Nuitées)"/>
    <s v="Travel Subsistence"/>
    <s v="Investigation"/>
    <n v="70000"/>
    <n v="117.41164354495943"/>
    <n v="596.19299999999998"/>
    <s v="G12"/>
    <s v="G12-F-D1"/>
    <s v="PALF"/>
    <x v="0"/>
    <s v="CONGO"/>
    <m/>
    <m/>
    <m/>
  </r>
  <r>
    <x v="31"/>
    <s v="Achat billet: Loudima - sibiti/G12"/>
    <s v="Transport"/>
    <s v="Investigation"/>
    <n v="4000"/>
    <n v="6.7092367739976817"/>
    <n v="596.19299999999998"/>
    <s v="G12"/>
    <s v="G12-F-R2"/>
    <s v="PALF"/>
    <x v="0"/>
    <s v="CONGO"/>
    <m/>
    <m/>
    <m/>
  </r>
  <r>
    <x v="32"/>
    <s v="P29 -CONGO Frais d'hotel du 07 au 09/02/2025 à tchikapika(02 Nuitées)"/>
    <s v="Travel Subsistence"/>
    <s v="Investigation"/>
    <n v="30000"/>
    <n v="50.319275804982617"/>
    <n v="596.19299999999998"/>
    <s v="P29"/>
    <s v="P29-F-R4"/>
    <s v="PALF"/>
    <x v="0"/>
    <s v="CONGO"/>
    <m/>
    <m/>
    <m/>
  </r>
  <r>
    <x v="32"/>
    <s v="Achat billet tchikapika-ombele/P29"/>
    <s v="Transport"/>
    <s v="Investigation"/>
    <n v="5000"/>
    <n v="8.3865459674971028"/>
    <n v="596.19299999999998"/>
    <s v="P29"/>
    <s v="P29-F-R5"/>
    <s v="PALF"/>
    <x v="0"/>
    <s v="CONGO"/>
    <m/>
    <m/>
    <m/>
  </r>
  <r>
    <x v="32"/>
    <s v="Cumul frais de trust building du mois de Février 2025/P29"/>
    <s v="Trust Building"/>
    <s v="Investigation"/>
    <n v="39500"/>
    <n v="66.253713143227117"/>
    <n v="596.19299999999998"/>
    <s v="P29"/>
    <s v="P29-F-D2"/>
    <s v="PALF"/>
    <x v="0"/>
    <s v="CONGO"/>
    <m/>
    <m/>
    <m/>
  </r>
  <r>
    <x v="32"/>
    <s v="IT87 - CONGOFrais d'hôtel le Pépin du 07 au 09/02/2025 à Otende (02 nuitées)"/>
    <s v="Travel Subsistence"/>
    <s v="Investigation"/>
    <n v="30000"/>
    <n v="50.319275804982617"/>
    <n v="596.19299999999998"/>
    <s v="IT87"/>
    <s v="IT87-F-R4"/>
    <s v="PALF"/>
    <x v="0"/>
    <s v="CONGO"/>
    <m/>
    <m/>
    <m/>
  </r>
  <r>
    <x v="32"/>
    <s v="Achat billet Otende - Oyo/ IT87"/>
    <s v="Transport"/>
    <s v="Investigation"/>
    <n v="3000"/>
    <n v="5.0319275804982615"/>
    <n v="596.19299999999998"/>
    <s v="IT87"/>
    <s v="IT87-F-R5"/>
    <s v="PALF"/>
    <x v="0"/>
    <s v="CONGO"/>
    <m/>
    <m/>
    <m/>
  </r>
  <r>
    <x v="33"/>
    <s v="P29 - CONGO Frais d'hotel du 09 au 10/02/2025 à ombele (01 Nuitée)"/>
    <s v="Travel Subsistence"/>
    <s v="Investigation"/>
    <n v="15000"/>
    <n v="25.159637902491308"/>
    <n v="596.19299999999998"/>
    <s v="P29"/>
    <s v="P29-F-R6"/>
    <s v="PALF"/>
    <x v="0"/>
    <s v="CONGO"/>
    <m/>
    <m/>
    <m/>
  </r>
  <r>
    <x v="33"/>
    <s v="Achat billet ombele-owando/P29"/>
    <s v="Transport"/>
    <s v="Investigation"/>
    <n v="5000"/>
    <n v="8.3865459674971028"/>
    <n v="596.19299999999998"/>
    <s v="P29"/>
    <s v="P29-F-R7"/>
    <s v="PALF"/>
    <x v="0"/>
    <s v="CONGO"/>
    <m/>
    <m/>
    <m/>
  </r>
  <r>
    <x v="33"/>
    <s v="T73 - CONGO Frais d'hotel du 06 au 10/02/2025 (04nuitées ) à Makoua"/>
    <s v="Travel Subsistence"/>
    <s v="Investigation"/>
    <n v="60000"/>
    <n v="100.63855160996523"/>
    <n v="596.19299999999998"/>
    <s v="T73"/>
    <s v="T73-F-R2"/>
    <s v="PALF"/>
    <x v="0"/>
    <s v="CONGO"/>
    <m/>
    <m/>
    <m/>
  </r>
  <r>
    <x v="33"/>
    <s v="Achat billet : makoua - Owando/T73"/>
    <s v="Transport"/>
    <s v="Investigation"/>
    <n v="3000"/>
    <n v="5.0319275804982615"/>
    <n v="596.19299999999998"/>
    <s v="T73"/>
    <s v="T73-F-R4"/>
    <s v="PALF"/>
    <x v="0"/>
    <s v="CONGO"/>
    <m/>
    <m/>
    <m/>
  </r>
  <r>
    <x v="33"/>
    <s v="Frais de transfert d'argent à G12"/>
    <s v="Transfer fees"/>
    <s v="Office"/>
    <n v="4110"/>
    <n v="6.8937407852826187"/>
    <n v="596.19299999999998"/>
    <s v="Roderlin"/>
    <s v="CA-F-R12"/>
    <s v="PALF"/>
    <x v="0"/>
    <s v="CONGO"/>
    <m/>
    <m/>
    <m/>
  </r>
  <r>
    <x v="34"/>
    <s v="Bonus du mois de Janvier 2025/Merveille"/>
    <s v="Personnel"/>
    <s v="Office"/>
    <n v="94430"/>
    <n v="158.38830714215027"/>
    <n v="596.19299999999998"/>
    <s v="Merveille"/>
    <s v="CA-F-D2"/>
    <s v="PALF"/>
    <x v="0"/>
    <s v="CONGO"/>
    <m/>
    <m/>
    <m/>
  </r>
  <r>
    <x v="34"/>
    <s v="Bonus du mois de Janvier 2025/Crepin"/>
    <s v="Personnel"/>
    <s v="Legal"/>
    <n v="30000"/>
    <n v="50.319275804982617"/>
    <n v="596.19299999999998"/>
    <s v="Merveille"/>
    <s v="CA-F-D3"/>
    <s v="PALF"/>
    <x v="0"/>
    <s v="CONGO"/>
    <m/>
    <m/>
    <m/>
  </r>
  <r>
    <x v="34"/>
    <s v="Bonus du mois de Janvier 2025/Romain"/>
    <s v="Personnel"/>
    <s v="Legal"/>
    <n v="30000"/>
    <n v="50.319275804982617"/>
    <n v="596.19299999999998"/>
    <s v="Merveille"/>
    <s v="CA-F-D4"/>
    <s v="PALF"/>
    <x v="0"/>
    <s v="CONGO"/>
    <m/>
    <m/>
    <m/>
  </r>
  <r>
    <x v="34"/>
    <s v="Bonus du mois de Janvier 2025/Abraham"/>
    <s v="Personnel"/>
    <s v="Legal"/>
    <n v="30000"/>
    <n v="50.319275804982617"/>
    <n v="596.19299999999998"/>
    <s v="Merveille"/>
    <s v="CA-F-D5"/>
    <s v="PALF"/>
    <x v="0"/>
    <s v="CONGO"/>
    <m/>
    <m/>
    <m/>
  </r>
  <r>
    <x v="34"/>
    <s v="Bonus du mois de Janvier 2025/Roderlin"/>
    <s v="Personnel"/>
    <s v="Legal"/>
    <n v="30000"/>
    <n v="50.319275804982617"/>
    <n v="596.19299999999998"/>
    <s v="Merveille"/>
    <s v="CA-F-D6"/>
    <s v="PALF"/>
    <x v="0"/>
    <s v="CONGO"/>
    <m/>
    <m/>
    <m/>
  </r>
  <r>
    <x v="34"/>
    <s v="Bonus du mois de Janvier 2025/Evariste"/>
    <s v="Personnel"/>
    <s v="Media"/>
    <n v="30000"/>
    <n v="50.319275804982617"/>
    <n v="596.19299999999998"/>
    <s v="Merveille"/>
    <s v="CA-F-D7"/>
    <s v="PALF"/>
    <x v="0"/>
    <s v="CONGO"/>
    <m/>
    <m/>
    <m/>
  </r>
  <r>
    <x v="34"/>
    <s v="Bonus opération du 15/01/2025 à Owando/Crepin"/>
    <s v="Bonus"/>
    <s v="Operation"/>
    <n v="35000"/>
    <n v="58.705821772479716"/>
    <n v="596.19299999999998"/>
    <s v="Merveille"/>
    <s v="CA-F-D8"/>
    <s v="PALF"/>
    <x v="0"/>
    <s v="CONGO"/>
    <m/>
    <m/>
    <m/>
  </r>
  <r>
    <x v="34"/>
    <s v="Bonus opération du 15/01/2025 à Owando/Romain"/>
    <s v="Bonus"/>
    <s v="Operation"/>
    <n v="30000"/>
    <n v="50.319275804982617"/>
    <n v="596.19299999999998"/>
    <s v="Merveille"/>
    <s v="CA-F-D9"/>
    <s v="PALF"/>
    <x v="0"/>
    <s v="CONGO"/>
    <m/>
    <m/>
    <m/>
  </r>
  <r>
    <x v="34"/>
    <s v="Bonus opération du 15/01/2025 à Owando/Abraham"/>
    <s v="Bonus"/>
    <s v="Operation"/>
    <n v="30000"/>
    <n v="50.319275804982617"/>
    <n v="596.19299999999998"/>
    <s v="Merveille"/>
    <s v="CA-F-D10"/>
    <s v="PALF"/>
    <x v="0"/>
    <s v="CONGO"/>
    <m/>
    <m/>
    <m/>
  </r>
  <r>
    <x v="34"/>
    <s v="Bonus opération du 15/01/2025 à Owando/Evariste"/>
    <s v="Bonus"/>
    <s v="Operation"/>
    <n v="30000"/>
    <n v="50.319275804982617"/>
    <n v="596.19299999999998"/>
    <s v="Merveille"/>
    <s v="CA-F-D11"/>
    <s v="PALF"/>
    <x v="0"/>
    <s v="CONGO"/>
    <m/>
    <m/>
    <m/>
  </r>
  <r>
    <x v="34"/>
    <s v="G12 Congo frais d'hotel du 08 au 11/02/2025   à sibiti (3 nuitées)"/>
    <s v="Travel Subsistence"/>
    <s v="Investigation"/>
    <n v="45000"/>
    <n v="75.478913707473922"/>
    <n v="596.19299999999998"/>
    <s v="G12"/>
    <s v="G12-F-R3"/>
    <s v="PALF"/>
    <x v="0"/>
    <s v="CONGO"/>
    <m/>
    <m/>
    <m/>
  </r>
  <r>
    <x v="34"/>
    <s v="Achat billet sibiti - loudima /G12"/>
    <s v="Transport"/>
    <s v="Investigation"/>
    <n v="4000"/>
    <n v="6.7092367739976817"/>
    <n v="596.19299999999998"/>
    <s v="G12"/>
    <s v="G12-F-R4"/>
    <s v="PALF"/>
    <x v="0"/>
    <s v="CONGO"/>
    <m/>
    <m/>
    <m/>
  </r>
  <r>
    <x v="34"/>
    <s v="Achat billet loudima -nkayi / G12"/>
    <s v="Transport"/>
    <s v="Investigation"/>
    <n v="3000"/>
    <n v="4.8874119492008914"/>
    <n v="613.82180000000005"/>
    <s v="G12"/>
    <s v="G12-F-R5"/>
    <s v="PALF"/>
    <x v="1"/>
    <s v="CONGO"/>
    <m/>
    <m/>
    <m/>
  </r>
  <r>
    <x v="34"/>
    <s v="Achat billet Brazzaville-Owando(Trans bony)/Abraham"/>
    <s v="Transport"/>
    <s v="Legal"/>
    <n v="7000"/>
    <n v="11.403961214802081"/>
    <n v="613.82180000000005"/>
    <s v="Abraham"/>
    <s v="AB-F-R1"/>
    <s v="PALF"/>
    <x v="1"/>
    <s v="CONGO"/>
    <m/>
    <m/>
    <m/>
  </r>
  <r>
    <x v="34"/>
    <s v="Frais de mission maitre Marie Helène NANITELAMION du 12 au 14 Février 2025 à Owando suivi audience"/>
    <s v="Lawyer Fees"/>
    <s v="Legal"/>
    <n v="70000"/>
    <n v="117.41164354495943"/>
    <n v="596.19299999999998"/>
    <s v="Abraham"/>
    <s v="CA-F-R13"/>
    <s v="PALF"/>
    <x v="0"/>
    <s v="CONGO"/>
    <m/>
    <m/>
    <m/>
  </r>
  <r>
    <x v="34"/>
    <s v="Solde honoraire contrat n°81 Owando cas Monick/ Maître BANZOUZI Alain/3654800"/>
    <s v="Lawyer Fees"/>
    <s v="Legal"/>
    <n v="200000"/>
    <n v="335.46183869988408"/>
    <n v="596.19299999999998"/>
    <s v="BCI"/>
    <s v="BQ-F-R3"/>
    <s v="PALF"/>
    <x v="0"/>
    <s v="CONGO"/>
    <m/>
    <m/>
    <m/>
  </r>
  <r>
    <x v="34"/>
    <s v="Frais de transfert d'argent à P29"/>
    <s v="Transfer fees"/>
    <s v="Office"/>
    <n v="6720"/>
    <n v="11.271517780316106"/>
    <n v="596.19299999999998"/>
    <s v="Roderlin"/>
    <s v="CA-F-R14"/>
    <s v="PALF"/>
    <x v="0"/>
    <s v="CONGO"/>
    <m/>
    <m/>
    <m/>
  </r>
  <r>
    <x v="35"/>
    <s v="IT87 - CONGO Frais d'hôtel Saint Benoît du 09 au 12/02/2025 à Oyo (03 nuitées)"/>
    <s v="Travel Subsistence"/>
    <s v="Investigation"/>
    <n v="45000"/>
    <n v="75.478913707473922"/>
    <n v="596.19299999999998"/>
    <s v="IT87"/>
    <s v="IT87-F-R6"/>
    <s v="PALF"/>
    <x v="0"/>
    <s v="CONGO"/>
    <m/>
    <m/>
    <m/>
  </r>
  <r>
    <x v="35"/>
    <s v="Achat billet Oyo - Brazzaville/ IT87"/>
    <s v="Transport"/>
    <s v="Investigation"/>
    <n v="7000"/>
    <n v="11.741164354495943"/>
    <n v="596.19299999999998"/>
    <s v="IT87"/>
    <s v="IT87-F-R6"/>
    <s v="PALF"/>
    <x v="0"/>
    <s v="CONGO"/>
    <m/>
    <m/>
    <m/>
  </r>
  <r>
    <x v="35"/>
    <s v="ABRAHAM - CONGO food allowance du 12/02 au 01/03/2025 à Owando (17 Nuitées)"/>
    <s v="Travel Subsistence"/>
    <s v="Legal"/>
    <n v="170000"/>
    <n v="285.14256289490152"/>
    <n v="596.19299999999998"/>
    <s v="Abraham"/>
    <s v="AB-F-D1"/>
    <s v="PALF"/>
    <x v="0"/>
    <s v="CONGO"/>
    <m/>
    <m/>
    <m/>
  </r>
  <r>
    <x v="35"/>
    <s v="Achat billet Brazzaville- Loudima/Roderlin"/>
    <s v="Transport"/>
    <s v="Legal"/>
    <n v="8000"/>
    <n v="13.418473547995363"/>
    <n v="596.19299999999998"/>
    <s v="Roderlin"/>
    <s v="RO-F-R4"/>
    <s v="PALF"/>
    <x v="0"/>
    <s v="CONGO"/>
    <m/>
    <m/>
    <m/>
  </r>
  <r>
    <x v="35"/>
    <s v="Frais de transfert d'argent à T73"/>
    <s v="Transfer fees"/>
    <s v="Office"/>
    <n v="1980"/>
    <n v="3.3210722031288529"/>
    <n v="596.19299999999998"/>
    <s v="Roderlin"/>
    <s v="CA-F-R15"/>
    <s v="PALF"/>
    <x v="0"/>
    <s v="CONGO"/>
    <m/>
    <m/>
    <m/>
  </r>
  <r>
    <x v="35"/>
    <s v="Frais de mission maitre Alain BANZOUZI du 13 au 15 Février 2025 à Sibiti/suivi audience"/>
    <s v="Lawyer Fees"/>
    <s v="Legal"/>
    <n v="80000"/>
    <n v="134.18473547995364"/>
    <n v="596.19299999999998"/>
    <s v="Roderlin"/>
    <s v="CA-F-R16"/>
    <s v="PALF"/>
    <x v="0"/>
    <s v="CONGO"/>
    <m/>
    <m/>
    <m/>
  </r>
  <r>
    <x v="36"/>
    <s v="Paiment assurance DOVI/Assistance Evacuation"/>
    <s v="Personnel"/>
    <s v="Management"/>
    <n v="129464"/>
    <n v="217.15115742720897"/>
    <n v="596.19299999999998"/>
    <s v="Merveille"/>
    <s v="CA-F-R17"/>
    <s v="PALF"/>
    <x v="0"/>
    <s v="CONGO"/>
    <m/>
    <m/>
    <m/>
  </r>
  <r>
    <x v="36"/>
    <s v="Paiment assurance DOVI/Individuelle Accidents Corporels"/>
    <s v="Personnel"/>
    <s v="Management"/>
    <n v="80500"/>
    <n v="135.02339007670335"/>
    <n v="596.19299999999998"/>
    <s v="Merveille"/>
    <s v="CA-F-R18"/>
    <s v="PALF"/>
    <x v="0"/>
    <s v="CONGO"/>
    <m/>
    <m/>
    <m/>
  </r>
  <r>
    <x v="36"/>
    <s v="G12-CONGO  frais d'hotel du 11 au 13 /02 / 2025 à nkayi (2nuitées)"/>
    <s v="Travel Subsistence"/>
    <s v="Investigation"/>
    <n v="30000"/>
    <n v="50.319275804982617"/>
    <n v="596.19299999999998"/>
    <s v="G12"/>
    <s v="G12-F-R6"/>
    <s v="PALF"/>
    <x v="0"/>
    <s v="CONGO"/>
    <m/>
    <m/>
    <m/>
  </r>
  <r>
    <x v="36"/>
    <s v="Achat billet nkayi - madingou/G12"/>
    <s v="Transport"/>
    <s v="Investigation"/>
    <n v="3000"/>
    <n v="5.0319275804982615"/>
    <n v="596.19299999999998"/>
    <s v="G12"/>
    <s v="G12-F-R7"/>
    <s v="PALF"/>
    <x v="0"/>
    <s v="CONGO"/>
    <m/>
    <m/>
    <m/>
  </r>
  <r>
    <x v="36"/>
    <s v="RODERLIN-CONGO Ration du 13 au 15/02/2025 à Sibiti (02 nuitées)"/>
    <s v="Travel Subsistence"/>
    <s v="Legal"/>
    <n v="20000"/>
    <n v="32.582746328005946"/>
    <n v="613.82180000000005"/>
    <s v="Roderlin"/>
    <s v="RO-F-D2"/>
    <s v="PALF"/>
    <x v="1"/>
    <s v="CONGO"/>
    <m/>
    <m/>
    <m/>
  </r>
  <r>
    <x v="36"/>
    <s v="Bonus media portant sur la journée mondiale du Pangolin"/>
    <s v="Bonus to media office"/>
    <s v="Media"/>
    <n v="154000"/>
    <n v="250.88714672564575"/>
    <n v="613.82180000000005"/>
    <s v="Evariste"/>
    <s v="CA-F-D12"/>
    <s v="PALF"/>
    <x v="1"/>
    <s v="CONGO"/>
    <m/>
    <m/>
    <m/>
  </r>
  <r>
    <x v="36"/>
    <s v="Reglement frais d'assurance multi risque/Bureau PALF"/>
    <s v="Services"/>
    <s v="Office"/>
    <n v="227686"/>
    <n v="381.89982103110907"/>
    <n v="596.19299999999998"/>
    <s v="BCI"/>
    <s v="BQ-F-R4"/>
    <s v="PALF"/>
    <x v="0"/>
    <s v="CONGO"/>
    <m/>
    <m/>
    <m/>
  </r>
  <r>
    <x v="36"/>
    <s v="Achat billet Loudima - Sibiti/Roderlin"/>
    <s v="Transport"/>
    <s v="Legal"/>
    <n v="4000"/>
    <n v="6.7092367739976817"/>
    <n v="596.19299999999998"/>
    <s v="Roderlin"/>
    <s v="RO-F-R6"/>
    <s v="PALF"/>
    <x v="0"/>
    <s v="CONGO"/>
    <m/>
    <m/>
    <m/>
  </r>
  <r>
    <x v="37"/>
    <s v="Fonds envoyé à un informateur en RDC pour des informations"/>
    <s v="Trust Building"/>
    <s v="Investigation"/>
    <n v="30000"/>
    <n v="50.319275804982617"/>
    <n v="596.19299999999998"/>
    <s v="DOVI"/>
    <s v="DH-F-R1"/>
    <s v="PALF"/>
    <x v="0"/>
    <s v="CONGO"/>
    <m/>
    <m/>
    <m/>
  </r>
  <r>
    <x v="37"/>
    <s v="Frais de transfert d'argent par western union à l'informateur"/>
    <s v="Transfer fees"/>
    <s v="Office"/>
    <n v="1952"/>
    <n v="3.2741075457108688"/>
    <n v="596.19299999999998"/>
    <s v="DOVI"/>
    <s v="DH-F-R2"/>
    <s v="PALF"/>
    <x v="0"/>
    <s v="CONGO"/>
    <m/>
    <m/>
    <m/>
  </r>
  <r>
    <x v="37"/>
    <s v="Achat billet Brazzaville-Owando/DOVI"/>
    <s v="Transport"/>
    <s v="Management"/>
    <n v="7000"/>
    <n v="11.403961214802081"/>
    <n v="613.82180000000005"/>
    <s v="DOVI"/>
    <s v="DH-F-R3"/>
    <s v="PALF"/>
    <x v="1"/>
    <s v="CONGO"/>
    <m/>
    <m/>
    <m/>
  </r>
  <r>
    <x v="37"/>
    <s v="Billet: Brazzaville-Owando/Crepin"/>
    <s v="Transport"/>
    <s v="Legal"/>
    <n v="7000"/>
    <n v="11.403961214802081"/>
    <n v="613.82180000000005"/>
    <s v="Crépin"/>
    <s v="CR-F-R1"/>
    <s v="PALF"/>
    <x v="1"/>
    <s v="CONGO"/>
    <m/>
    <m/>
    <m/>
  </r>
  <r>
    <x v="37"/>
    <s v="Achat credit  teléphonique MTN/PALF/Deuxième partie du mois de Février 2025/Management"/>
    <s v="Telephone"/>
    <s v="Management"/>
    <n v="30000"/>
    <n v="48.874119492008916"/>
    <n v="613.82180000000005"/>
    <s v="Merveille"/>
    <s v="CA-F-R20"/>
    <s v="PALF"/>
    <x v="1"/>
    <s v="CONGO"/>
    <m/>
    <m/>
    <m/>
  </r>
  <r>
    <x v="37"/>
    <s v="Achat credit  teléphonique MTN/PALF/Deuxième partie du mois de Février 2025/Legal"/>
    <s v="Telephone"/>
    <s v="Legal"/>
    <n v="30000"/>
    <n v="48.874119492008916"/>
    <n v="613.82180000000005"/>
    <s v="Merveille"/>
    <s v="CA-F-R21"/>
    <s v="PALF"/>
    <x v="1"/>
    <s v="CONGO"/>
    <m/>
    <m/>
    <m/>
  </r>
  <r>
    <x v="37"/>
    <s v="Achat credit  teléphonique MTN/PALF/Deuxième partie du mois de Février 2025/Investigation"/>
    <s v="Telephone"/>
    <s v="Investigation"/>
    <n v="55000"/>
    <n v="94.950186542589222"/>
    <n v="579.25109999999995"/>
    <s v="Merveille"/>
    <s v="CA-F-R22"/>
    <s v="PALF"/>
    <x v="2"/>
    <s v="CONGO"/>
    <m/>
    <m/>
    <m/>
  </r>
  <r>
    <x v="37"/>
    <s v="Achat credit  teléphonique MTN/PALF/Deuxième partie du mois de Février 2025/Media"/>
    <s v="Telephone"/>
    <s v="Media"/>
    <n v="10000"/>
    <n v="16.291373164002973"/>
    <n v="613.82180000000005"/>
    <s v="Merveille"/>
    <s v="CA-F-R23"/>
    <s v="PALF"/>
    <x v="1"/>
    <s v="CONGO"/>
    <m/>
    <m/>
    <m/>
  </r>
  <r>
    <x v="37"/>
    <s v="Achat credit  teléphonique Airtel/PALF/Deuxième partie du mois de Février 2025/Legal"/>
    <s v="Telephone"/>
    <s v="Legal"/>
    <n v="10000"/>
    <n v="16.291373164002973"/>
    <n v="613.82180000000005"/>
    <s v="Merveille"/>
    <s v="CA-F-R24"/>
    <s v="PALF"/>
    <x v="1"/>
    <s v="CONGO"/>
    <m/>
    <m/>
    <m/>
  </r>
  <r>
    <x v="37"/>
    <s v="Achat credit  teléphonique Airtel/PALF/Deuxième partie du mois de Février 2025/Investigation"/>
    <s v="Telephone"/>
    <s v="Investigation"/>
    <n v="5000"/>
    <n v="8.1456865820014865"/>
    <n v="613.82180000000005"/>
    <s v="Merveille"/>
    <s v="CA-F-R25"/>
    <s v="PALF"/>
    <x v="1"/>
    <s v="CONGO"/>
    <m/>
    <m/>
    <m/>
  </r>
  <r>
    <x v="37"/>
    <s v="Frais de transfert d'argent à T73,P29 et Abraham"/>
    <s v="Transfer fees"/>
    <s v="Office"/>
    <n v="11310"/>
    <n v="18.425543048487359"/>
    <n v="613.82180000000005"/>
    <s v="Parfaite"/>
    <s v="CA-F-R19"/>
    <s v="PALF"/>
    <x v="1"/>
    <s v="CONGO"/>
    <m/>
    <m/>
    <m/>
  </r>
  <r>
    <x v="37"/>
    <s v="Cumul frais de trust building du mois de Février 2025/G12"/>
    <s v="Trust Building"/>
    <s v="Investigation"/>
    <n v="4000"/>
    <n v="6.5165492656011885"/>
    <n v="613.82180000000005"/>
    <s v="G12"/>
    <s v="G12-F-D2"/>
    <s v="PALF"/>
    <x v="1"/>
    <s v="CONGO"/>
    <m/>
    <m/>
    <m/>
  </r>
  <r>
    <x v="37"/>
    <s v="Achat billet Madingou - brazzaville/G12"/>
    <s v="Transport"/>
    <s v="Investigation"/>
    <n v="7000"/>
    <n v="11.403961214802081"/>
    <n v="613.82180000000005"/>
    <s v="G12"/>
    <s v="G12-F-R8"/>
    <s v="PALF"/>
    <x v="1"/>
    <s v="CONGO"/>
    <m/>
    <m/>
    <m/>
  </r>
  <r>
    <x v="37"/>
    <s v="Achat Billet Brazzaville-Owando/Romain"/>
    <s v="Transport"/>
    <s v="Legal"/>
    <n v="7000"/>
    <n v="11.403961214802081"/>
    <n v="613.82180000000005"/>
    <s v="Romain"/>
    <s v="RM-F-R4"/>
    <s v="PALF"/>
    <x v="1"/>
    <s v="CONGO"/>
    <m/>
    <m/>
    <m/>
  </r>
  <r>
    <x v="37"/>
    <s v="Achat billet, Brazzaville-Owando/Evariste"/>
    <s v="Transport"/>
    <s v="Media"/>
    <n v="7000"/>
    <n v="11.403961214802081"/>
    <n v="613.82180000000005"/>
    <s v="Evariste"/>
    <s v="EV-F-R1"/>
    <s v="PALF"/>
    <x v="1"/>
    <s v="CONGO"/>
    <m/>
    <m/>
    <m/>
  </r>
  <r>
    <x v="37"/>
    <s v="Cumul frais de jail visits du mois de Février 2025/Roderlin"/>
    <s v="Jail visit"/>
    <s v="Legal"/>
    <n v="20000"/>
    <n v="32.582746328005946"/>
    <n v="613.82180000000005"/>
    <s v="Roderlin"/>
    <s v="RO-F-D3"/>
    <s v="PALF"/>
    <x v="1"/>
    <s v="CONGO"/>
    <m/>
    <m/>
    <m/>
  </r>
  <r>
    <x v="37"/>
    <s v="Achat billet Brazzaville - Madingou/ IT87"/>
    <s v="Transport"/>
    <s v="Investigation"/>
    <n v="7000"/>
    <n v="11.403961214802081"/>
    <n v="613.82180000000005"/>
    <s v="IT87"/>
    <s v="IT87-F-R7"/>
    <s v="PALF"/>
    <x v="1"/>
    <s v="CONGO"/>
    <m/>
    <m/>
    <m/>
  </r>
  <r>
    <x v="38"/>
    <s v="DOVI -CONGO Ration du 15 Février 2025 au 25 Février 2025 soit 10 nuitées"/>
    <s v="Travel Subsistence"/>
    <s v="Operation"/>
    <n v="100000"/>
    <n v="162.91373164002971"/>
    <n v="613.82180000000005"/>
    <s v="DOVI"/>
    <s v="DH-F-D1"/>
    <s v="PALF"/>
    <x v="1"/>
    <s v="CONGO"/>
    <m/>
    <m/>
    <m/>
  </r>
  <r>
    <x v="38"/>
    <s v="CREPIN - CONGO Ration du 15/02/ au 05/03/2025 à Owando (18 nuitées)"/>
    <s v="Travel Subsistence"/>
    <s v="Operation"/>
    <n v="180000"/>
    <n v="293.24471695205347"/>
    <n v="613.82180000000005"/>
    <s v="Crépin"/>
    <s v="CR-F-D1"/>
    <s v="PALF"/>
    <x v="1"/>
    <s v="CONGO"/>
    <m/>
    <m/>
    <m/>
  </r>
  <r>
    <x v="38"/>
    <s v="IT87 - CONGO Ration du 15 au 22/02/2025 à Madingou, Mouyondzi et Loutété"/>
    <s v="Travel Subsistence"/>
    <s v="Investigation"/>
    <n v="70000"/>
    <n v="114.03961214802079"/>
    <n v="613.82180000000005"/>
    <s v="IT87"/>
    <s v="IT87-F-D2"/>
    <s v="PALF"/>
    <x v="1"/>
    <s v="CONGO"/>
    <m/>
    <m/>
    <m/>
  </r>
  <r>
    <x v="38"/>
    <s v="G12 CONGO frais d'hotel du 13 au 15 /02/2025(02 Nuitées)"/>
    <s v="Travel Subsistence"/>
    <s v="Investigation"/>
    <n v="30000"/>
    <n v="48.874119492008916"/>
    <n v="613.82180000000005"/>
    <s v="G12"/>
    <s v="G12-F-R9"/>
    <s v="PALF"/>
    <x v="1"/>
    <s v="CONGO"/>
    <m/>
    <m/>
    <m/>
  </r>
  <r>
    <x v="38"/>
    <s v="ROMAIN - CONGO Ration du 15/02/ au 04/03/2025 à Owando(17 Nuitées)"/>
    <s v="Travel Subsistence"/>
    <s v="Legal"/>
    <n v="170000"/>
    <n v="276.95334378805052"/>
    <n v="613.82180000000005"/>
    <s v="Romain"/>
    <s v="RM-F-D2"/>
    <s v="PALF"/>
    <x v="1"/>
    <s v="CONGO"/>
    <m/>
    <m/>
    <m/>
  </r>
  <r>
    <x v="38"/>
    <s v="ABRAHAM - CONGO frais d'Hôtel (Hôtel Case Mbali) du 12 au 15/02/2025 Owando (03Nuitées)"/>
    <s v="Travel Subsistence"/>
    <s v="Legal"/>
    <n v="45000"/>
    <n v="73.311179238013366"/>
    <n v="613.82180000000005"/>
    <s v="Abraham"/>
    <s v="AB-F-R2"/>
    <s v="PALF"/>
    <x v="1"/>
    <s v="CONGO"/>
    <m/>
    <m/>
    <m/>
  </r>
  <r>
    <x v="38"/>
    <s v="RODERLIN-CONGO frais d'hôtel du 13 au 15/02/2025 à Sibiti (02 nuitées)"/>
    <s v="Travel Subsistence"/>
    <s v="Legal"/>
    <n v="30000"/>
    <n v="48.874119492008916"/>
    <n v="613.82180000000005"/>
    <s v="Roderlin"/>
    <s v="RO-F-R5"/>
    <s v="PALF"/>
    <x v="1"/>
    <s v="CONGO"/>
    <m/>
    <m/>
    <m/>
  </r>
  <r>
    <x v="38"/>
    <s v="Taxi: Sibiti-Loudima /Roderlin"/>
    <s v="Transport"/>
    <s v="Legal"/>
    <n v="4000"/>
    <n v="6.5165492656011885"/>
    <n v="613.82180000000005"/>
    <s v="Roderlin"/>
    <s v="RO-F-R7"/>
    <s v="PALF"/>
    <x v="1"/>
    <s v="CONGO"/>
    <m/>
    <m/>
    <m/>
  </r>
  <r>
    <x v="38"/>
    <s v="EVARISTE - CONGO Ration du 15 au 28 février 2025, mission d'Owando (13 nuitées)"/>
    <s v="Travel Subsistence"/>
    <s v="Media"/>
    <n v="130000"/>
    <n v="211.78785113203864"/>
    <n v="613.82180000000005"/>
    <s v="Evariste"/>
    <s v="EV-F-D1"/>
    <s v="PALF"/>
    <x v="1"/>
    <s v="CONGO"/>
    <m/>
    <m/>
    <m/>
  </r>
  <r>
    <x v="38"/>
    <s v="Achat billet Loudima-Brazzaville /Roderlin"/>
    <s v="Transport"/>
    <s v="Legal"/>
    <n v="7000"/>
    <n v="11.403961214802081"/>
    <n v="613.82180000000005"/>
    <s v="Roderlin"/>
    <s v="RO-F-R8"/>
    <s v="PALF"/>
    <x v="1"/>
    <s v="CONGO"/>
    <m/>
    <m/>
    <m/>
  </r>
  <r>
    <x v="39"/>
    <s v="Achat credit téléphonique pour P29/Appel trust à l'international"/>
    <s v="Telephone"/>
    <s v="Investigation"/>
    <n v="15000"/>
    <n v="24.437059746004458"/>
    <n v="613.82180000000005"/>
    <s v="Merveille"/>
    <s v="CA-F-R26"/>
    <s v="PALF"/>
    <x v="1"/>
    <s v="CONGO"/>
    <m/>
    <m/>
    <m/>
  </r>
  <r>
    <x v="40"/>
    <s v="Frais de transfert d'argent à Crepin"/>
    <s v="Transfer fees"/>
    <s v="Office"/>
    <n v="9000"/>
    <n v="14.662235847602675"/>
    <n v="613.82180000000005"/>
    <s v="Parfaite"/>
    <s v="CA-F-R27"/>
    <s v="PALF"/>
    <x v="1"/>
    <s v="CONGO"/>
    <m/>
    <m/>
    <m/>
  </r>
  <r>
    <x v="40"/>
    <s v="IT87 - CONGO Frais d'hôtel Dzongo Bénoît du 15 au 18/02/2025 à Madingou (03 nuitées)"/>
    <s v="Travel Subsistence"/>
    <s v="Investigation"/>
    <n v="45000"/>
    <n v="73.311179238013366"/>
    <n v="613.82180000000005"/>
    <s v="IT87"/>
    <s v="IT87-F-R8"/>
    <s v="PALF"/>
    <x v="1"/>
    <s v="CONGO"/>
    <m/>
    <m/>
    <m/>
  </r>
  <r>
    <x v="40"/>
    <s v="Achat billet Madingou - Mouyondzi/ IT87"/>
    <s v="Transport"/>
    <s v="Investigation"/>
    <n v="4000"/>
    <n v="6.5165492656011885"/>
    <n v="613.82180000000005"/>
    <s v="IT87"/>
    <s v="IT87-F-R9"/>
    <s v="PALF"/>
    <x v="1"/>
    <s v="CONGO"/>
    <m/>
    <m/>
    <m/>
  </r>
  <r>
    <x v="40"/>
    <s v="Frais de mission maitre BANZOUZI à Owando du 19 au 21/02/205 suivi audience cas MONICK"/>
    <s v="Lawyer Fees"/>
    <s v="Legal"/>
    <n v="70000"/>
    <n v="114.03961214802079"/>
    <n v="613.82180000000005"/>
    <s v="Roderlin"/>
    <s v="CA-F-R28"/>
    <s v="PALF"/>
    <x v="1"/>
    <s v="CONGO"/>
    <m/>
    <m/>
    <m/>
  </r>
  <r>
    <x v="41"/>
    <s v="Fonds envoyé à un informateur  en RDC pour des informations"/>
    <s v="Trust Building"/>
    <s v="Investigation"/>
    <n v="30000"/>
    <n v="48.874119492008916"/>
    <n v="613.82180000000005"/>
    <s v="Merveille"/>
    <s v="CA-F-R29"/>
    <s v="PALF"/>
    <x v="1"/>
    <s v="CONGO"/>
    <m/>
    <m/>
    <m/>
  </r>
  <r>
    <x v="41"/>
    <s v="Frais de transfert bonus à informateur"/>
    <s v="Transfer fees"/>
    <s v="Office"/>
    <n v="1952"/>
    <n v="3.3698684387478939"/>
    <n v="579.25109999999995"/>
    <s v="Merveille"/>
    <s v="CA-F-R30"/>
    <s v="PALF"/>
    <x v="2"/>
    <s v="CONGO"/>
    <m/>
    <m/>
    <m/>
  </r>
  <r>
    <x v="41"/>
    <s v="Frais de transfert d'argent à Abraham"/>
    <s v="Transfer fees"/>
    <s v="Office"/>
    <n v="14250"/>
    <n v="23.215206758704234"/>
    <n v="613.82180000000005"/>
    <s v="Parfaite"/>
    <s v="CA-F-R31"/>
    <s v="PALF"/>
    <x v="1"/>
    <s v="CONGO"/>
    <m/>
    <m/>
    <m/>
  </r>
  <r>
    <x v="42"/>
    <s v="IT87 - CONGO Frais d'hôtel DZA MATSAKA du 18 au 20/02/2025 à Mouyondzi (02 nuitées)"/>
    <s v="Travel Subsistence"/>
    <s v="Investigation"/>
    <n v="30000"/>
    <n v="48.874119492008916"/>
    <n v="613.82180000000005"/>
    <s v="IT87"/>
    <s v="IT87-F-R10"/>
    <s v="PALF"/>
    <x v="1"/>
    <s v="CONGO"/>
    <m/>
    <m/>
    <m/>
  </r>
  <r>
    <x v="42"/>
    <s v="Achat billet Mouyondzi - Loutété/ IT87"/>
    <s v="Transport"/>
    <s v="Investigation"/>
    <n v="4000"/>
    <n v="6.5165492656011885"/>
    <n v="613.82180000000005"/>
    <s v="IT87"/>
    <s v="IT87-F-R11"/>
    <s v="PALF"/>
    <x v="1"/>
    <s v="CONGO"/>
    <m/>
    <m/>
    <m/>
  </r>
  <r>
    <x v="42"/>
    <s v="ABRAHAM - CONGO frais d'Hôtel  du 15au 20/02/2025 Owando (05Nuitées)"/>
    <s v="Travel Subsistence"/>
    <s v="Legal"/>
    <n v="75000"/>
    <n v="122.18529873002228"/>
    <n v="613.82180000000005"/>
    <s v="Abraham"/>
    <s v="AB-F-R5"/>
    <s v="PALF"/>
    <x v="1"/>
    <s v="CONGO"/>
    <m/>
    <m/>
    <m/>
  </r>
  <r>
    <x v="43"/>
    <s v="Frais de transfert d'argent à T73,P29 et Abraham"/>
    <s v="Transfer fees"/>
    <s v="Office"/>
    <n v="14700"/>
    <n v="23.94831855108437"/>
    <n v="613.82180000000005"/>
    <s v="Roderlin"/>
    <s v="CA-F-R43"/>
    <s v="PALF"/>
    <x v="1"/>
    <s v="CONGO"/>
    <m/>
    <m/>
    <m/>
  </r>
  <r>
    <x v="44"/>
    <s v="CREPIN - CONGO Hébergement à l'hôtel Essebo d'Owando, 07 Nuitées du 15 au 22/02/2025"/>
    <s v="Travel Subsistence"/>
    <s v="Legal"/>
    <n v="105000"/>
    <n v="171.05941822203121"/>
    <n v="613.82180000000005"/>
    <s v="Crépin"/>
    <s v="CR-F-R2"/>
    <s v="PALF"/>
    <x v="1"/>
    <s v="CONGO"/>
    <m/>
    <m/>
    <m/>
  </r>
  <r>
    <x v="44"/>
    <s v="T73 - CONGO Frais d'hotel du 10 au 22/02/2025 (12 nuitées ) à Owando"/>
    <s v="Travel Subsistence"/>
    <s v="Investigation"/>
    <n v="180000"/>
    <n v="293.24471695205347"/>
    <n v="613.82180000000005"/>
    <s v="T73"/>
    <s v="T73-F-R5"/>
    <s v="PALF"/>
    <x v="1"/>
    <s v="CONGO"/>
    <m/>
    <m/>
    <m/>
  </r>
  <r>
    <x v="44"/>
    <s v="IT87 - CONGO Frais d'hôtel Clair Matin du 20 au 22/02/2025 à Loutété (02 nuitées)"/>
    <s v="Travel Subsistence"/>
    <s v="Investigation"/>
    <n v="30000"/>
    <n v="48.874119492008916"/>
    <n v="613.82180000000005"/>
    <s v="IT87"/>
    <s v="IT87-F-R12"/>
    <s v="PALF"/>
    <x v="1"/>
    <s v="CONGO"/>
    <m/>
    <m/>
    <m/>
  </r>
  <r>
    <x v="44"/>
    <s v="Achat billet Loutété - Brazzaville/ IT87"/>
    <s v="Transport"/>
    <s v="Investigation"/>
    <n v="7000"/>
    <n v="11.403961214802081"/>
    <n v="613.82180000000005"/>
    <s v="IT87"/>
    <s v="IT87-F-R13"/>
    <s v="PALF"/>
    <x v="1"/>
    <s v="CONGO"/>
    <m/>
    <m/>
    <m/>
  </r>
  <r>
    <x v="45"/>
    <s v="Cumul frais de trust building du mois de Février 2025/T73"/>
    <s v="Trust Building"/>
    <s v="Investigation"/>
    <n v="68000"/>
    <n v="110.7813375152202"/>
    <n v="613.82180000000005"/>
    <s v="T73"/>
    <s v="T73-F-D2"/>
    <s v="PALF"/>
    <x v="1"/>
    <s v="CONGO"/>
    <m/>
    <m/>
    <m/>
  </r>
  <r>
    <x v="46"/>
    <s v="Plats et raffraichissements"/>
    <s v="Travel Subsistence"/>
    <s v="Operation"/>
    <n v="10500"/>
    <n v="17.105941822203121"/>
    <n v="613.82180000000005"/>
    <s v="Crépin"/>
    <s v="CR-F-R3"/>
    <s v="PALF"/>
    <x v="1"/>
    <s v="CONGO"/>
    <m/>
    <m/>
    <m/>
  </r>
  <r>
    <x v="46"/>
    <s v="01 bidon d'eau de 10 litres pour les OPJ sous instruction du Coordinateur"/>
    <s v="Office Materials"/>
    <s v="Operation"/>
    <n v="1500"/>
    <n v="2.4437059746004457"/>
    <n v="613.82180000000005"/>
    <s v="Crépin"/>
    <s v="CR-F-D2"/>
    <s v="PALF"/>
    <x v="1"/>
    <s v="CONGO"/>
    <m/>
    <m/>
    <m/>
  </r>
  <r>
    <x v="46"/>
    <s v="Achat credit téléphonique pour le coordinateur"/>
    <s v="Telephone"/>
    <s v="Management"/>
    <n v="5000"/>
    <n v="8.1456865820014865"/>
    <n v="613.82180000000005"/>
    <s v="Merveille"/>
    <s v="CA-F-R34"/>
    <s v="PALF"/>
    <x v="1"/>
    <s v="CONGO"/>
    <m/>
    <m/>
    <m/>
  </r>
  <r>
    <x v="46"/>
    <s v="P29 - CONGO Frais hotel du 10 au 24/02/2025 à owando/(14 Nuitées)"/>
    <s v="Travel Subsistence"/>
    <s v="Investigation"/>
    <n v="210000"/>
    <n v="342.11883644406242"/>
    <n v="613.82180000000005"/>
    <s v="P29"/>
    <s v="P29-F-R8"/>
    <s v="PALF"/>
    <x v="1"/>
    <s v="CONGO"/>
    <m/>
    <m/>
    <m/>
  </r>
  <r>
    <x v="46"/>
    <s v="Location véhicule extraction owando-oyo/P29"/>
    <s v="Transport"/>
    <s v="Operation"/>
    <n v="50000"/>
    <n v="81.456865820014855"/>
    <n v="613.82180000000005"/>
    <s v="P29"/>
    <s v="P29-F-R9"/>
    <s v="PALF"/>
    <x v="1"/>
    <s v="CONGO"/>
    <m/>
    <m/>
    <m/>
  </r>
  <r>
    <x v="46"/>
    <s v="Locaation vehicule 1 pour extraction  du stade à la vouma/P29"/>
    <s v="Transport"/>
    <s v="Operation"/>
    <n v="8000"/>
    <n v="13.033098531202377"/>
    <n v="613.82180000000005"/>
    <s v="P29"/>
    <s v="P29-F-R10"/>
    <s v="PALF"/>
    <x v="1"/>
    <s v="CONGO"/>
    <m/>
    <m/>
    <m/>
  </r>
  <r>
    <x v="46"/>
    <s v="Locaation vehicule 2  pour extraction de la vouma station AOGC/P29"/>
    <s v="Transport"/>
    <s v="Operation"/>
    <n v="8000"/>
    <n v="13.033098531202377"/>
    <n v="613.82180000000005"/>
    <s v="P29"/>
    <s v="P29-F-R11"/>
    <s v="PALF"/>
    <x v="1"/>
    <s v="CONGO"/>
    <m/>
    <m/>
    <m/>
  </r>
  <r>
    <x v="46"/>
    <s v="Rafraichissement en attente opération "/>
    <s v="Travel Subsistence"/>
    <s v="Operation"/>
    <n v="18000"/>
    <n v="29.32447169520535"/>
    <n v="613.82180000000005"/>
    <s v="Romain"/>
    <s v="RM-F-R5"/>
    <s v="PALF"/>
    <x v="1"/>
    <s v="CONGO"/>
    <m/>
    <m/>
    <m/>
  </r>
  <r>
    <x v="46"/>
    <s v="Carburant BJ Opération"/>
    <s v="Transport"/>
    <s v="Operation"/>
    <n v="25000"/>
    <n v="40.728432910007427"/>
    <n v="613.82180000000005"/>
    <s v="Romain"/>
    <s v="RM-F-R6"/>
    <s v="PALF"/>
    <x v="1"/>
    <s v="CONGO"/>
    <m/>
    <m/>
    <m/>
  </r>
  <r>
    <x v="46"/>
    <s v="Rafraîchissement attente OP"/>
    <s v="Travel Subsistence"/>
    <s v="Legal"/>
    <n v="5100"/>
    <n v="8.3086003136415147"/>
    <n v="613.82180000000005"/>
    <s v="Abraham"/>
    <s v="AB-F-R3"/>
    <s v="PALF"/>
    <x v="1"/>
    <s v="CONGO"/>
    <m/>
    <m/>
    <m/>
  </r>
  <r>
    <x v="46"/>
    <s v="Frais de transfert charden farell à Abraham (pour le compte de DOVI et Crépin)"/>
    <s v="Transfer fees"/>
    <s v="Office"/>
    <n v="8100"/>
    <n v="13.196012262842407"/>
    <n v="613.82180000000005"/>
    <s v="Roderlin"/>
    <s v="CA-F-R33"/>
    <s v="PALF"/>
    <x v="1"/>
    <s v="CONGO"/>
    <m/>
    <m/>
    <m/>
  </r>
  <r>
    <x v="46"/>
    <s v="Rafraichissement de mon équipe lors de l'opération"/>
    <s v="Travel Subsistence"/>
    <s v="Operation"/>
    <n v="9800"/>
    <n v="15.965545700722911"/>
    <n v="613.82180000000005"/>
    <s v="Evariste"/>
    <s v="EV-F-D2"/>
    <s v="PALF"/>
    <x v="1"/>
    <s v="CONGO"/>
    <m/>
    <m/>
    <m/>
  </r>
  <r>
    <x v="47"/>
    <s v="Achat billet Owando -Brazzaville/DOVI"/>
    <s v="Transport"/>
    <s v="Management"/>
    <n v="7000"/>
    <n v="11.403961214802081"/>
    <n v="613.82180000000005"/>
    <s v="DOVI"/>
    <s v="DH-F-R4"/>
    <s v="PALF"/>
    <x v="1"/>
    <s v="CONGO"/>
    <m/>
    <m/>
    <m/>
  </r>
  <r>
    <x v="47"/>
    <s v="DOVI-CONGO Frais d'hôtel du 15 Février 2025 au 25 Février 2025 soit 10 nuitées à Owando(Hôtel Savouret)"/>
    <s v="Travel Subsistence"/>
    <s v="Management"/>
    <n v="150000"/>
    <n v="244.37059746004456"/>
    <n v="613.82180000000005"/>
    <s v="DOVI"/>
    <s v="DH-F-R5"/>
    <s v="PALF"/>
    <x v="1"/>
    <s v="CONGO"/>
    <m/>
    <m/>
    <m/>
  </r>
  <r>
    <x v="47"/>
    <s v="Bonus pour 18 Gendarmes ayant participé à l'opération du 24/02/2025  à Owando"/>
    <s v="Bonus"/>
    <s v="Operation"/>
    <n v="180000"/>
    <n v="293.24471695205347"/>
    <n v="613.82180000000005"/>
    <s v="Crépin"/>
    <s v="CR-F-R4"/>
    <s v="PALF"/>
    <x v="1"/>
    <s v="CONGO"/>
    <m/>
    <m/>
    <m/>
  </r>
  <r>
    <x v="47"/>
    <s v="Bonus pour 02 EF ayant participé à l'opération du 24/02/2025  à Owando"/>
    <s v="Bonus"/>
    <s v="Operation"/>
    <n v="20000"/>
    <n v="32.582746328005946"/>
    <n v="613.82180000000005"/>
    <s v="Crépin"/>
    <s v="CR-F-R5"/>
    <s v="PALF"/>
    <x v="1"/>
    <s v="CONGO"/>
    <m/>
    <m/>
    <m/>
  </r>
  <r>
    <x v="47"/>
    <s v="P29 - CONGO Frais de Location d'appartement pour op à owando du 22 au 25/02/2025  (occupé par crepin)/03 Nuitées"/>
    <s v="Travel Subsistence"/>
    <s v="Operation"/>
    <n v="105000"/>
    <n v="181.26853794494306"/>
    <n v="579.25109999999995"/>
    <s v="P29"/>
    <s v="P29-F-R12"/>
    <s v="PALF"/>
    <x v="2"/>
    <s v="CONGO"/>
    <m/>
    <m/>
    <m/>
  </r>
  <r>
    <x v="47"/>
    <s v="P29 - CONGO Frais de location d'appartement pour op à Owando du 22 au 25/02/2025  (occupé par T73)/03 Nuitées"/>
    <s v="Travel Subsistence"/>
    <s v="Operation"/>
    <n v="105000"/>
    <n v="181.26853794494306"/>
    <n v="579.25109999999995"/>
    <s v="P29"/>
    <s v="P29-F-R13"/>
    <s v="PALF"/>
    <x v="2"/>
    <s v="CONGO"/>
    <m/>
    <m/>
    <m/>
  </r>
  <r>
    <x v="47"/>
    <s v="Achat billet Brazzaville - Loutété/ IT87"/>
    <s v="Transport"/>
    <s v="Investigation"/>
    <n v="7000"/>
    <n v="11.403961214802081"/>
    <n v="613.82180000000005"/>
    <s v="IT87"/>
    <s v="IT87-F-R14"/>
    <s v="PALF"/>
    <x v="1"/>
    <s v="CONGO"/>
    <m/>
    <m/>
    <m/>
  </r>
  <r>
    <x v="47"/>
    <s v="ROMAIN - CONGO - Frais d'hôtel du 15 au 25/02/2025 à Owando(10 Nuitées)"/>
    <s v="Travel Subsistence"/>
    <s v="Legal"/>
    <n v="150000"/>
    <n v="244.37059746004456"/>
    <n v="613.82180000000005"/>
    <s v="Romain"/>
    <s v="RM-F-R8"/>
    <s v="PALF"/>
    <x v="1"/>
    <s v="CONGO"/>
    <m/>
    <m/>
    <m/>
  </r>
  <r>
    <x v="47"/>
    <s v="EVARISTE - CONGO Frais de l'hôtel du 15 au 25 février 2025 à Owando (10 nuitées)"/>
    <s v="Travel Subsistence"/>
    <s v="Media"/>
    <n v="150000"/>
    <n v="244.37059746004456"/>
    <n v="613.82180000000005"/>
    <s v="Evariste"/>
    <s v="EV-F-R2"/>
    <s v="PALF"/>
    <x v="1"/>
    <s v="CONGO"/>
    <m/>
    <m/>
    <m/>
  </r>
  <r>
    <x v="48"/>
    <s v="Frais de mission à Owando de maitre Alain du 27/02 au 04/03/2025"/>
    <s v="Lawyer Fees"/>
    <s v="Legal"/>
    <n v="148000"/>
    <n v="241.11232282724399"/>
    <n v="613.82180000000005"/>
    <s v="Merveille"/>
    <s v="CA-F-R35"/>
    <s v="PALF"/>
    <x v="1"/>
    <s v="CONGO"/>
    <m/>
    <m/>
    <m/>
  </r>
  <r>
    <x v="48"/>
    <s v="Frais de transfert d'argent à Abraham"/>
    <s v="Transfer fees"/>
    <s v="Office"/>
    <n v="10980"/>
    <n v="17.887927734075262"/>
    <n v="613.82180000000005"/>
    <s v="Parfaite"/>
    <s v="CA-F-R44"/>
    <s v="PALF"/>
    <x v="1"/>
    <s v="CONGO"/>
    <m/>
    <m/>
    <m/>
  </r>
  <r>
    <x v="48"/>
    <s v="IT87 - CONGO Ration  du 26 au 28/02/2025 à Loutété"/>
    <s v="Travel Subsistence"/>
    <s v="Investigation"/>
    <n v="20000"/>
    <n v="32.582746328005946"/>
    <n v="613.82180000000005"/>
    <s v="IT87"/>
    <s v="IT87-F-D3"/>
    <s v="PALF"/>
    <x v="1"/>
    <s v="CONGO"/>
    <m/>
    <m/>
    <m/>
  </r>
  <r>
    <x v="48"/>
    <s v="Cumul frais de transport local du mois Février 2025/G12"/>
    <s v="Transport"/>
    <s v="Investigation"/>
    <n v="40100"/>
    <n v="65.32840638765191"/>
    <n v="613.82180000000005"/>
    <s v="G12"/>
    <s v="G12-F-D3"/>
    <s v="PALF"/>
    <x v="1"/>
    <s v="CONGO"/>
    <m/>
    <m/>
    <m/>
  </r>
  <r>
    <x v="48"/>
    <s v="Achat médicaments du prévenu Dodo"/>
    <s v="Jail visit"/>
    <s v="Legal"/>
    <n v="4000"/>
    <n v="6.9054681121883075"/>
    <n v="579.25109999999995"/>
    <s v="Abraham"/>
    <s v="AB-F-R4"/>
    <s v="PALF"/>
    <x v="2"/>
    <s v="CONGO"/>
    <m/>
    <m/>
    <m/>
  </r>
  <r>
    <x v="49"/>
    <s v="Reglement prestation de nettoyage jardin PALF du mois de Février 2025"/>
    <s v="Services"/>
    <s v="Office"/>
    <n v="20000"/>
    <n v="34.527340560941539"/>
    <n v="579.25109999999995"/>
    <s v="Merveille"/>
    <s v="CA-F-R36"/>
    <s v="PALF"/>
    <x v="2"/>
    <s v="CONGO"/>
    <m/>
    <m/>
    <m/>
  </r>
  <r>
    <x v="49"/>
    <s v="Cumul frais de Trust building du mois de Février 2025/IT87"/>
    <s v="Trust Building"/>
    <s v="Investigation"/>
    <n v="29000"/>
    <n v="50.06464381336523"/>
    <n v="579.25109999999995"/>
    <s v="IT87"/>
    <s v="IT87-F-D4"/>
    <s v="PALF"/>
    <x v="2"/>
    <s v="CONGO"/>
    <m/>
    <m/>
    <m/>
  </r>
  <r>
    <x v="49"/>
    <s v="Cumul frais de transport local du mois de Février 2025/Roderlin"/>
    <s v="Transport"/>
    <s v="Legal"/>
    <n v="26900"/>
    <n v="46.439273054466369"/>
    <n v="579.25109999999995"/>
    <s v="Roderlin"/>
    <s v="RO-F-D4"/>
    <s v="PALF"/>
    <x v="2"/>
    <s v="CONGO"/>
    <m/>
    <m/>
    <m/>
  </r>
  <r>
    <x v="49"/>
    <s v="Frais de transfert d'argent à IT87"/>
    <s v="Transfer fees"/>
    <s v="Office"/>
    <n v="560"/>
    <n v="0.93929314835967548"/>
    <n v="596.19299999999998"/>
    <s v="Roderlin"/>
    <s v="CA-F-R37"/>
    <s v="PALF"/>
    <x v="0"/>
    <s v="CONGO"/>
    <m/>
    <m/>
    <m/>
  </r>
  <r>
    <x v="50"/>
    <s v="Cumul frais de transport local du mois de Février 2025/DOVI"/>
    <s v="Transport"/>
    <s v="Management"/>
    <n v="39500"/>
    <n v="68.191497607859532"/>
    <n v="579.25109999999995"/>
    <s v="DOVI"/>
    <s v="DH-F-D2"/>
    <s v="PALF"/>
    <x v="2"/>
    <s v="CONGO"/>
    <m/>
    <m/>
    <m/>
  </r>
  <r>
    <x v="50"/>
    <s v="Cumul frais de transport local du mois de Février 2025/Crepin IBOUILI IBOUILI"/>
    <s v="Transport"/>
    <s v="Legal"/>
    <n v="14000"/>
    <n v="24.169138392659075"/>
    <n v="579.25109999999995"/>
    <s v="Crépin"/>
    <s v="CR-F-D3"/>
    <s v="PALF"/>
    <x v="2"/>
    <s v="CONGO"/>
    <m/>
    <m/>
    <m/>
  </r>
  <r>
    <x v="50"/>
    <s v="Cumul frais de transport local du mois de Février 2025/Merveille"/>
    <s v="Transport"/>
    <s v="Office"/>
    <n v="35500"/>
    <n v="61.286029495671229"/>
    <n v="579.25109999999995"/>
    <s v="Merveille"/>
    <s v="ME-F-D1"/>
    <s v="PALF"/>
    <x v="2"/>
    <s v="CONGO"/>
    <m/>
    <m/>
    <m/>
  </r>
  <r>
    <x v="50"/>
    <s v="Ramassage ordure du mois Février 2025/Bureau PALF"/>
    <s v="Services"/>
    <s v="Office"/>
    <n v="6000"/>
    <n v="10.35820216828246"/>
    <n v="579.25109999999995"/>
    <s v="Merveille"/>
    <s v="CA-F-R38"/>
    <s v="PALF"/>
    <x v="2"/>
    <s v="CONGO"/>
    <m/>
    <m/>
    <m/>
  </r>
  <r>
    <x v="50"/>
    <s v="Reglement facture internet periode du 01/03 au 31/03/2025 bureau PALF"/>
    <s v="Internet"/>
    <s v="Office"/>
    <n v="45050"/>
    <n v="77.772834613520814"/>
    <n v="579.25109999999995"/>
    <s v="Merveille"/>
    <s v="CA-F-R39"/>
    <s v="PALF"/>
    <x v="2"/>
    <s v="CONGO"/>
    <m/>
    <m/>
    <m/>
  </r>
  <r>
    <x v="50"/>
    <s v="Achat fourniture de bureau/Classeurs,stylo,intercalaire,rame papier,surligneur,chemise cartonnée"/>
    <s v="Office Materials"/>
    <s v="Office"/>
    <n v="182000"/>
    <n v="314.19879910456797"/>
    <n v="579.25109999999995"/>
    <s v="Merveille"/>
    <s v="CA-F-R41"/>
    <s v="PALF"/>
    <x v="2"/>
    <s v="CONGO"/>
    <m/>
    <m/>
    <m/>
  </r>
  <r>
    <x v="50"/>
    <s v="Frais de carte de travail Parfaite"/>
    <s v="Personnel"/>
    <s v="Office"/>
    <n v="10500"/>
    <n v="18.126853794494306"/>
    <n v="579.25109999999995"/>
    <s v="Merveille"/>
    <s v="CA-F-R42"/>
    <s v="PALF"/>
    <x v="2"/>
    <s v="CONGO"/>
    <m/>
    <m/>
    <m/>
  </r>
  <r>
    <x v="49"/>
    <s v="Cumul frais de transport local du mois de Février 2025/Parfaite"/>
    <s v="Transport"/>
    <s v="Office"/>
    <n v="7000"/>
    <n v="11.741164354495943"/>
    <n v="596.19299999999998"/>
    <s v="Parfaite"/>
    <s v="P-F-D1"/>
    <s v="PALF"/>
    <x v="0"/>
    <s v="CONGO"/>
    <m/>
    <m/>
    <m/>
  </r>
  <r>
    <x v="50"/>
    <s v="Frais de transfert d'argent à Romain"/>
    <s v="Transfer fees"/>
    <s v="Office"/>
    <n v="7020"/>
    <n v="12.119096536890479"/>
    <n v="579.25109999999995"/>
    <s v="Parfaite"/>
    <s v="CA-F-R45"/>
    <s v="PALF"/>
    <x v="2"/>
    <s v="CONGO"/>
    <m/>
    <m/>
    <m/>
  </r>
  <r>
    <x v="50"/>
    <s v="Règlement prestation technicienne de surface (mois de Février 2025)"/>
    <s v="Services"/>
    <s v="Office"/>
    <n v="75625"/>
    <n v="130.55650649606019"/>
    <n v="579.25109999999995"/>
    <s v="Parfaite"/>
    <s v="CA-F-R40"/>
    <s v="PALF"/>
    <x v="2"/>
    <s v="CONGO"/>
    <m/>
    <m/>
    <m/>
  </r>
  <r>
    <x v="50"/>
    <s v="Achat billet billet oyo-brazzaville/P29"/>
    <s v="Transport"/>
    <s v="Investigation"/>
    <n v="6000"/>
    <n v="10.35820216828246"/>
    <n v="579.25109999999995"/>
    <s v="P29"/>
    <s v="P29-F-R14"/>
    <s v="PALF"/>
    <x v="2"/>
    <s v="CONGO"/>
    <m/>
    <m/>
    <m/>
  </r>
  <r>
    <x v="50"/>
    <s v="P29 - CONGO Frais d'hotel du 24 au 28/02/2025  à Oyo(04 Nuitées)"/>
    <s v="Travel Subsistence"/>
    <s v="Investigation"/>
    <n v="60000"/>
    <n v="103.5820216828246"/>
    <n v="579.25109999999995"/>
    <s v="P29"/>
    <s v="P29-F-R15"/>
    <s v="PALF"/>
    <x v="2"/>
    <s v="CONGO"/>
    <m/>
    <m/>
    <m/>
  </r>
  <r>
    <x v="50"/>
    <s v="Cumul frais de transport local du mois de Février 2025/P29"/>
    <s v="Transport"/>
    <s v="Investigation"/>
    <n v="66800"/>
    <n v="115.32131747354472"/>
    <n v="579.25109999999995"/>
    <s v="P29"/>
    <s v="P29-F-D3"/>
    <s v="PALF"/>
    <x v="2"/>
    <s v="CONGO"/>
    <m/>
    <m/>
    <m/>
  </r>
  <r>
    <x v="50"/>
    <s v="T73 - CONGO Frais d'hotel du 24 au 28/02/2025 (04 nuitées ) à Oyo"/>
    <s v="Travel Subsistence"/>
    <s v="Investigation"/>
    <n v="60000"/>
    <n v="103.5820216828246"/>
    <n v="579.25109999999995"/>
    <s v="T73"/>
    <s v="T73-F-R6"/>
    <s v="PALF"/>
    <x v="2"/>
    <s v="CONGO"/>
    <m/>
    <m/>
    <m/>
  </r>
  <r>
    <x v="50"/>
    <s v="Achat billet : Oyo - Brazzaville /T73"/>
    <s v="Transport"/>
    <s v="Investigation"/>
    <n v="6000"/>
    <n v="10.35820216828246"/>
    <n v="579.25109999999995"/>
    <s v="T73"/>
    <s v="T73-F-R7"/>
    <s v="PALF"/>
    <x v="2"/>
    <s v="CONGO"/>
    <m/>
    <m/>
    <m/>
  </r>
  <r>
    <x v="50"/>
    <s v="Cumul frais de transport local du mois de Février 2025/T73"/>
    <s v="Transport"/>
    <s v="Investigation"/>
    <n v="53700"/>
    <n v="92.705909406128029"/>
    <n v="579.25109999999995"/>
    <s v="T73"/>
    <s v="T73-F-D3"/>
    <s v="PALF"/>
    <x v="2"/>
    <s v="CONGO"/>
    <m/>
    <m/>
    <m/>
  </r>
  <r>
    <x v="50"/>
    <s v="IT87 - CONGO Frais d'hôtel Clair Matin du 26 au 28/02/2025 à Loutété (02 nuitées)"/>
    <s v="Travel Subsistence"/>
    <s v="Investigation"/>
    <n v="30000"/>
    <n v="51.791010841412302"/>
    <n v="579.25109999999995"/>
    <s v="IT87"/>
    <s v="IT87-F-R15"/>
    <s v="PALF"/>
    <x v="2"/>
    <s v="CONGO"/>
    <m/>
    <m/>
    <m/>
  </r>
  <r>
    <x v="50"/>
    <s v="Achat billet Loutété - Brazzaville/ IT87"/>
    <s v="Transport"/>
    <s v="Investigation"/>
    <n v="7000"/>
    <n v="12.084569196329538"/>
    <n v="579.25109999999995"/>
    <s v="IT87"/>
    <s v="IT87-F-R16"/>
    <s v="PALF"/>
    <x v="2"/>
    <s v="CONGO"/>
    <m/>
    <m/>
    <m/>
  </r>
  <r>
    <x v="50"/>
    <s v="Cumul frais de Transport local du mois de Février 2025/IT87"/>
    <s v="Transport"/>
    <s v="Investigation"/>
    <n v="66500"/>
    <n v="114.80340736513061"/>
    <n v="579.25109999999995"/>
    <s v="IT87"/>
    <s v="IT87-F-D5"/>
    <s v="PALF"/>
    <x v="2"/>
    <s v="CONGO"/>
    <m/>
    <m/>
    <m/>
  </r>
  <r>
    <x v="50"/>
    <s v="Impréssion de la procédure de la Gendarmerie"/>
    <s v="Office Materials"/>
    <s v="Legal"/>
    <n v="24675"/>
    <n v="42.598106417061622"/>
    <n v="579.25109999999995"/>
    <s v="Romain"/>
    <s v="RM-F-R7"/>
    <s v="PALF"/>
    <x v="2"/>
    <s v="CONGO"/>
    <m/>
    <m/>
    <m/>
  </r>
  <r>
    <x v="50"/>
    <s v="Cumul frais de transport local du mois de Février 2025/Romain"/>
    <s v="Transport"/>
    <s v="Legal"/>
    <n v="35500"/>
    <n v="61.286029495671229"/>
    <n v="579.25109999999995"/>
    <s v="Romain"/>
    <s v="RM-F-D3"/>
    <s v="PALF"/>
    <x v="2"/>
    <s v="CONGO"/>
    <m/>
    <m/>
    <m/>
  </r>
  <r>
    <x v="50"/>
    <s v="Cumul frais de jail visits du mois de Février 2025/Abraham"/>
    <s v="Jail visit"/>
    <s v="Legal"/>
    <n v="18000"/>
    <n v="31.074606504847381"/>
    <n v="579.25109999999995"/>
    <s v="Abraham"/>
    <s v="AB-F-D2"/>
    <s v="PALF"/>
    <x v="2"/>
    <s v="CONGO"/>
    <m/>
    <m/>
    <m/>
  </r>
  <r>
    <x v="50"/>
    <s v="Cumul frais de transport local du mois de Février 2025/Abraham"/>
    <s v="Transport"/>
    <s v="Legal"/>
    <n v="45000"/>
    <n v="77.68651626211846"/>
    <n v="579.25109999999995"/>
    <s v="Abraham"/>
    <s v="AB-F-D3"/>
    <s v="PALF"/>
    <x v="2"/>
    <s v="CONGO"/>
    <m/>
    <m/>
    <m/>
  </r>
  <r>
    <x v="50"/>
    <s v="EVARISTE - CONGO Frais de l'hôtel du 25 au 28 février 2025 (3 nuitées) "/>
    <s v="Travel Subsistence"/>
    <s v="Media"/>
    <n v="45000"/>
    <n v="77.68651626211846"/>
    <n v="579.25109999999995"/>
    <s v="Evariste"/>
    <s v="EV-F-R3"/>
    <s v="PALF"/>
    <x v="2"/>
    <s v="CONGO"/>
    <m/>
    <m/>
    <m/>
  </r>
  <r>
    <x v="50"/>
    <s v="Achat billet Owando-Brazzaville/Evariste"/>
    <s v="Transport"/>
    <s v="Media"/>
    <n v="7000"/>
    <n v="12.084569196329538"/>
    <n v="579.25109999999995"/>
    <s v="Evariste"/>
    <s v="EV-F-R4"/>
    <s v="PALF"/>
    <x v="2"/>
    <s v="CONGO"/>
    <m/>
    <m/>
    <m/>
  </r>
  <r>
    <x v="50"/>
    <s v="Cumul frais de transport local du mois de Février 2025/Evariste"/>
    <s v="Transport"/>
    <s v="Media"/>
    <n v="33500"/>
    <n v="57.833295439577071"/>
    <n v="579.25109999999995"/>
    <s v="Evariste"/>
    <s v="EV-F-D3"/>
    <s v="PALF"/>
    <x v="2"/>
    <s v="CONGO"/>
    <m/>
    <m/>
    <m/>
  </r>
  <r>
    <x v="50"/>
    <s v="Bonus media portant sur l'interpellation de deux présumé trafiquants le 24/02/2025 à Owando"/>
    <s v="Bonus to media office"/>
    <s v="Media"/>
    <n v="200000"/>
    <n v="345.27340560941536"/>
    <n v="579.25109999999995"/>
    <s v="Evariste"/>
    <s v="CA-F-D13"/>
    <s v="PALF"/>
    <x v="2"/>
    <s v="CONGO"/>
    <m/>
    <m/>
    <m/>
  </r>
  <r>
    <x v="51"/>
    <s v="CREPIN - CONGO Hébergement à l'hôtel Case Mbali d'Owando, 05 Nuitées du 24/02/ au 01/03/2025 "/>
    <s v="Travel Subsistence"/>
    <s v="Légal"/>
    <n v="75000"/>
    <n v="129.47754945610797"/>
    <n v="579.25099999999998"/>
    <s v="Crépin"/>
    <s v="CR-M-R1"/>
    <s v="PALF"/>
    <x v="2"/>
    <s v="CONGO"/>
    <m/>
    <m/>
    <m/>
  </r>
  <r>
    <x v="51"/>
    <s v="Achat billet Owando-Brazzaville(Trans bony)/Abraham"/>
    <s v="Transport"/>
    <s v="Legal"/>
    <n v="7000"/>
    <n v="12.084571282570078"/>
    <n v="579.25099999999998"/>
    <s v="Abraham"/>
    <s v="AB-M-R1"/>
    <s v="PALF"/>
    <x v="2"/>
    <s v="CONGO"/>
    <m/>
    <m/>
    <m/>
  </r>
  <r>
    <x v="51"/>
    <s v="ABRAHAM - CONGO frais d'Hôtel (Hôtel Case Mbali) du 20/02/2025 au 01/03/2025 Owando (09Nuitées)"/>
    <s v="Travel Subsistence"/>
    <s v="Legal"/>
    <n v="135000"/>
    <n v="233.05958902099437"/>
    <n v="579.25099999999998"/>
    <s v="Abraham"/>
    <s v="AB-M-R2"/>
    <s v="PALF"/>
    <x v="2"/>
    <s v="CONGO"/>
    <m/>
    <m/>
    <m/>
  </r>
  <r>
    <x v="52"/>
    <s v="Achat credit  teléphonique MTN/PALF/Première partie du mois de Mars2025/Management"/>
    <s v="Telephone"/>
    <s v="Management"/>
    <n v="47000"/>
    <n v="81.139264325827668"/>
    <n v="579.25099999999998"/>
    <s v="Merveille"/>
    <s v="CA-M-R1"/>
    <s v="PALF"/>
    <x v="2"/>
    <s v="CONGO"/>
    <m/>
    <m/>
    <m/>
  </r>
  <r>
    <x v="52"/>
    <s v="Achat credit  teléphonique MTN/PALF/Première partie du mois de Mars 2025/Legal"/>
    <s v="Telephone"/>
    <s v="Legal"/>
    <n v="74000"/>
    <n v="127.75118213002654"/>
    <n v="579.25099999999998"/>
    <s v="Merveille"/>
    <s v="CA-M-R2"/>
    <s v="PALF"/>
    <x v="2"/>
    <s v="CONGO"/>
    <m/>
    <m/>
    <m/>
  </r>
  <r>
    <x v="52"/>
    <s v="Achat credit  teléphonique MTN/PALF/Première partie du mois de Mars 2025/Investigation"/>
    <s v="Telephone"/>
    <s v="Investigation"/>
    <n v="88000"/>
    <n v="151.9203246951667"/>
    <n v="579.25099999999998"/>
    <s v="Merveille"/>
    <s v="CA-M-R3"/>
    <s v="PALF"/>
    <x v="2"/>
    <s v="CONGO"/>
    <m/>
    <m/>
    <m/>
  </r>
  <r>
    <x v="52"/>
    <s v="Achat credit  teléphonique MTN/PALF/Première partie du mois de Mars 2025/Media"/>
    <s v="Telephone"/>
    <s v="Media"/>
    <n v="10000"/>
    <n v="17.263673260814397"/>
    <n v="579.25099999999998"/>
    <s v="Merveille"/>
    <s v="CA-M-R4"/>
    <s v="PALF"/>
    <x v="2"/>
    <s v="CONGO"/>
    <m/>
    <m/>
    <m/>
  </r>
  <r>
    <x v="52"/>
    <s v="Achat credit  teléphonique Airtel/PALF/Première partie du mois de Mars 2025/Legal"/>
    <s v="Telephone"/>
    <s v="Legal"/>
    <n v="10000"/>
    <n v="17.263673260814397"/>
    <n v="579.25099999999998"/>
    <s v="Merveille"/>
    <s v="CA-M-R5"/>
    <s v="PALF"/>
    <x v="2"/>
    <s v="CONGO"/>
    <m/>
    <m/>
    <m/>
  </r>
  <r>
    <x v="52"/>
    <s v="Achat credit  teléphonique Airtel/PALF/Première partie du mois de Mars 2025/Investigation"/>
    <s v="Telephone"/>
    <s v="Investigation"/>
    <n v="16000"/>
    <n v="27.621877217303034"/>
    <n v="579.25099999999998"/>
    <s v="Merveille"/>
    <s v="CA-M-R6"/>
    <s v="PALF"/>
    <x v="2"/>
    <s v="CONGO"/>
    <m/>
    <m/>
    <m/>
  </r>
  <r>
    <x v="52"/>
    <s v="Achat credit  teléphonique Airtel/PALF/Première partie du mois de Mars 2025/Media"/>
    <s v="Telephone"/>
    <s v="Media"/>
    <n v="11000"/>
    <n v="18.990040586895837"/>
    <n v="579.25099999999998"/>
    <s v="Merveille"/>
    <s v="CA-M-R7"/>
    <s v="PALF"/>
    <x v="2"/>
    <s v="CONGO"/>
    <m/>
    <m/>
    <m/>
  </r>
  <r>
    <x v="52"/>
    <s v="Achat 01 telephone Tecno POP 7/ 64GB et 4ROM pour Abraham"/>
    <s v="Equipement"/>
    <s v="Legal"/>
    <n v="65000"/>
    <n v="112.21387619529358"/>
    <n v="579.25099999999998"/>
    <s v="Merveille"/>
    <s v="CA-M-R8"/>
    <s v="PALF"/>
    <x v="2"/>
    <s v="CONGO"/>
    <m/>
    <m/>
    <m/>
  </r>
  <r>
    <x v="52"/>
    <s v="Bonus operation du 24/02/2025 à Owando/Evariste"/>
    <s v="Bonus"/>
    <s v="Operation"/>
    <n v="45000"/>
    <n v="77.686529673664793"/>
    <n v="579.25099999999998"/>
    <s v="Merveille"/>
    <s v="CA-M-D1"/>
    <s v="PALF"/>
    <x v="2"/>
    <s v="CONGO"/>
    <m/>
    <m/>
    <m/>
  </r>
  <r>
    <x v="52"/>
    <s v="Bonus du mois de Janvier 2025/Evariste"/>
    <s v="Personnel"/>
    <s v="Media"/>
    <n v="30000"/>
    <n v="51.791019782443193"/>
    <n v="579.25099999999998"/>
    <s v="Merveille"/>
    <s v="CA-M-D2"/>
    <s v="PALF"/>
    <x v="2"/>
    <s v="CONGO"/>
    <m/>
    <m/>
    <m/>
  </r>
  <r>
    <x v="52"/>
    <s v="Bonus du mois de Janvier 2025/Merveille"/>
    <s v="Personnel"/>
    <s v="Office"/>
    <n v="94430"/>
    <n v="163.02086660187035"/>
    <n v="579.25099999999998"/>
    <s v="Merveille"/>
    <s v="CA-M-D3"/>
    <s v="PALF"/>
    <x v="2"/>
    <s v="CONGO"/>
    <m/>
    <m/>
    <m/>
  </r>
  <r>
    <x v="52"/>
    <s v="Bonus operation du 24/02/2025 à Owando/Merveille"/>
    <s v="Bonus"/>
    <s v="Operation"/>
    <n v="20000"/>
    <n v="34.527346521628793"/>
    <n v="579.25099999999998"/>
    <s v="Merveille"/>
    <s v="CA-M-D4"/>
    <s v="PALF"/>
    <x v="2"/>
    <s v="CONGO"/>
    <m/>
    <m/>
    <m/>
  </r>
  <r>
    <x v="52"/>
    <s v="Bonus operation du 24/02/2025 à Owando/Abraham"/>
    <s v="Bonus"/>
    <s v="Operation"/>
    <n v="45000"/>
    <n v="77.686529673664793"/>
    <n v="579.25099999999998"/>
    <s v="Merveille"/>
    <s v="CA-M-D6"/>
    <s v="PALF"/>
    <x v="2"/>
    <s v="CONGO"/>
    <m/>
    <m/>
    <m/>
  </r>
  <r>
    <x v="52"/>
    <s v="Bonus du mois de Janvier 2025/Abraham"/>
    <s v="Personnel"/>
    <s v="Legal"/>
    <n v="30000"/>
    <n v="51.791019782443193"/>
    <n v="579.25099999999998"/>
    <s v="Merveille"/>
    <s v="CA-M-D7"/>
    <s v="PALF"/>
    <x v="2"/>
    <s v="CONGO"/>
    <m/>
    <m/>
    <m/>
  </r>
  <r>
    <x v="52"/>
    <s v="Bonus du mois de Janvier 2025/Roderlin"/>
    <s v="Personnel"/>
    <s v="Legal"/>
    <n v="30000"/>
    <n v="51.791019782443193"/>
    <n v="579.25099999999998"/>
    <s v="Merveille"/>
    <s v="CA-M-D8"/>
    <s v="PALF"/>
    <x v="2"/>
    <s v="CONGO"/>
    <m/>
    <m/>
    <m/>
  </r>
  <r>
    <x v="52"/>
    <s v="Achat 10 ampoules pour le bureau "/>
    <s v="Office Materials"/>
    <s v="Office"/>
    <n v="25000"/>
    <n v="43.159183152035993"/>
    <n v="579.25099999999998"/>
    <s v="Parfaite"/>
    <s v="CA-M-R9"/>
    <s v="PALF"/>
    <x v="2"/>
    <s v="CONGO"/>
    <m/>
    <m/>
    <m/>
  </r>
  <r>
    <x v="52"/>
    <s v="Bonus du mois de Janvier 2025/Parfaite"/>
    <s v="Personnel"/>
    <s v="Office"/>
    <n v="15000"/>
    <n v="25.895509891221597"/>
    <n v="579.25099999999998"/>
    <s v="Parfaite"/>
    <s v="CA-M-D5"/>
    <s v="PALF"/>
    <x v="2"/>
    <s v="CONGO"/>
    <m/>
    <m/>
    <m/>
  </r>
  <r>
    <x v="52"/>
    <s v="Achat carburant 100 Litres de gazoil groupe electrogène Bureau"/>
    <s v="Office Materials"/>
    <s v="Office"/>
    <n v="62500"/>
    <n v="107.89795788008998"/>
    <n v="579.25099999999998"/>
    <s v="Abraham"/>
    <s v="CA-M-R10"/>
    <s v="PALF"/>
    <x v="2"/>
    <s v="CONGO"/>
    <m/>
    <m/>
    <m/>
  </r>
  <r>
    <x v="52"/>
    <s v="Reglement loyer du mois de Février 2025/3654804"/>
    <s v="Rent &amp; Utilities"/>
    <s v="Office"/>
    <n v="500000"/>
    <n v="863.18366304071981"/>
    <n v="579.25099999999998"/>
    <s v="BCI"/>
    <s v="BQ-M-R1"/>
    <s v="PALF"/>
    <x v="2"/>
    <s v="CONGO"/>
    <m/>
    <m/>
    <m/>
  </r>
  <r>
    <x v="52"/>
    <s v="Paiement salaire du mois de Février 2025/FOUMBA Roderlin/3654808"/>
    <s v="Personnel"/>
    <s v="Legal"/>
    <n v="200000"/>
    <n v="345.27346521628795"/>
    <n v="579.25099999999998"/>
    <s v="BCI"/>
    <s v="BQ-M-R2"/>
    <s v="PALF"/>
    <x v="2"/>
    <s v="CONGO"/>
    <m/>
    <m/>
    <m/>
  </r>
  <r>
    <x v="52"/>
    <s v="Paiement salaire du mois de Février 2025/BOUNGOU MAKOSSO Abraham"/>
    <s v="Personnel"/>
    <s v="Legal"/>
    <n v="200000"/>
    <n v="345.27346521628795"/>
    <n v="579.25099999999998"/>
    <s v="BCI"/>
    <s v="BQ-M-R3"/>
    <s v="PALF"/>
    <x v="2"/>
    <s v="CONGO"/>
    <m/>
    <m/>
    <m/>
  </r>
  <r>
    <x v="52"/>
    <s v="Paiement salaire du mois de Février 2025/LOUNDOU JeanRomain/3654807"/>
    <s v="Personnel"/>
    <s v="Legal"/>
    <n v="200000"/>
    <n v="345.27346521628795"/>
    <n v="579.25099999999998"/>
    <s v="BCI"/>
    <s v="BQ-M-R4"/>
    <s v="PALF"/>
    <x v="2"/>
    <s v="CONGO"/>
    <m/>
    <m/>
    <m/>
  </r>
  <r>
    <x v="52"/>
    <s v="Paiement salaire du mois de Février 2025/Crepin IBOUILI-IBOUILI"/>
    <s v="Personnel"/>
    <s v="Legal"/>
    <n v="551482"/>
    <n v="952.06050572204458"/>
    <n v="579.25099999999998"/>
    <s v="BCI"/>
    <s v="BQ-M-R5"/>
    <s v="PALF"/>
    <x v="2"/>
    <s v="CONGO"/>
    <m/>
    <m/>
    <m/>
  </r>
  <r>
    <x v="52"/>
    <s v="Paiement salaire du mois de Février 2025/Merveille MAHANGA"/>
    <s v="Personnel"/>
    <s v="Office"/>
    <n v="384789"/>
    <n v="664.2871570355511"/>
    <n v="579.25099999999998"/>
    <s v="BCI"/>
    <s v="BQ-M-R6"/>
    <s v="PALF"/>
    <x v="2"/>
    <s v="CONGO"/>
    <m/>
    <m/>
    <m/>
  </r>
  <r>
    <x v="52"/>
    <s v="Paiement salaire du mois de Février 2025/Evariste LELOUSSI"/>
    <s v="Personnel"/>
    <s v="Media"/>
    <n v="238140"/>
    <n v="411.11711503303405"/>
    <n v="579.25099999999998"/>
    <s v="BCI"/>
    <s v="BQ-M-R7"/>
    <s v="PALF"/>
    <x v="2"/>
    <s v="CONGO"/>
    <m/>
    <m/>
    <m/>
  </r>
  <r>
    <x v="52"/>
    <s v="Reglement honoraire du mois de Février 2025/T73/3654813"/>
    <s v="Personnel"/>
    <s v="Investigation"/>
    <n v="405000"/>
    <n v="699.17876706298307"/>
    <n v="579.25099999999998"/>
    <s v="BCI"/>
    <s v="BQ-M-R8"/>
    <s v="PALF"/>
    <x v="2"/>
    <s v="CONGO"/>
    <m/>
    <m/>
    <m/>
  </r>
  <r>
    <x v="52"/>
    <s v="Reglement honoraire du mois de Février 2025/P29/3654814"/>
    <s v="Personnel"/>
    <s v="Investigation"/>
    <n v="460000"/>
    <n v="794.12896999746226"/>
    <n v="579.25099999999998"/>
    <s v="BCI"/>
    <s v="BQ-M-R9"/>
    <s v="PALF"/>
    <x v="2"/>
    <s v="CONGO"/>
    <m/>
    <m/>
    <m/>
  </r>
  <r>
    <x v="52"/>
    <s v="Reglement honoraire du mois de Février 2025/IT87/3654815"/>
    <s v="Personnel"/>
    <s v="Investigation"/>
    <n v="255000"/>
    <n v="440.22366815076714"/>
    <n v="579.25099999999998"/>
    <s v="BCI"/>
    <s v="BQ-M-R10"/>
    <s v="PALF"/>
    <x v="2"/>
    <s v="CONGO"/>
    <m/>
    <m/>
    <m/>
  </r>
  <r>
    <x v="52"/>
    <s v="Reglement honoraire du mois de Février 2025/G12/3654816"/>
    <s v="Personnel"/>
    <s v="Investigation"/>
    <n v="255000"/>
    <n v="440.22366815076714"/>
    <n v="579.25099999999998"/>
    <s v="BCI"/>
    <s v="BQ-M-R11"/>
    <s v="PALF"/>
    <x v="2"/>
    <s v="CONGO"/>
    <m/>
    <m/>
    <m/>
  </r>
  <r>
    <x v="52"/>
    <s v="Reglement Facture Gardiennage Mois de Février 2025/3654817"/>
    <s v="Services"/>
    <s v="Office"/>
    <n v="260000"/>
    <n v="448.85550478117432"/>
    <n v="579.25099999999998"/>
    <s v="BCI"/>
    <s v="BQ-M-R12"/>
    <s v="PALF"/>
    <x v="2"/>
    <s v="CONGO"/>
    <m/>
    <m/>
    <m/>
  </r>
  <r>
    <x v="52"/>
    <s v="Frais de virement salaire février 2025"/>
    <s v="Bank fees"/>
    <s v="Office"/>
    <n v="10665"/>
    <n v="18.411707532658554"/>
    <n v="579.25099999999998"/>
    <s v="BCI"/>
    <s v="BQ-M-R13"/>
    <s v="PALF"/>
    <x v="2"/>
    <s v="CONGO"/>
    <m/>
    <m/>
    <m/>
  </r>
  <r>
    <x v="52"/>
    <s v="Acompte honoraire contrat N°64_Dolisie cas NZETSI BIMOKO et Consorts/Maitre Marie Hélène NANITELAMIO MALONGA"/>
    <s v="Lawyer Fees"/>
    <s v="Legal"/>
    <n v="300000"/>
    <n v="517.91019782443186"/>
    <n v="579.25099999999998"/>
    <s v="BCI"/>
    <s v="BQ-M-R14"/>
    <s v="PALF"/>
    <x v="2"/>
    <s v="CONGO"/>
    <m/>
    <m/>
    <m/>
  </r>
  <r>
    <x v="53"/>
    <s v="Bonus à un informateur en RDC "/>
    <s v="Trust Building"/>
    <s v="Investigation"/>
    <n v="30000"/>
    <n v="51.791019782443193"/>
    <n v="579.25099999999998"/>
    <s v="DOVI"/>
    <s v="CA-M-R12"/>
    <s v="PALF"/>
    <x v="2"/>
    <s v="CONGO"/>
    <m/>
    <m/>
    <m/>
  </r>
  <r>
    <x v="53"/>
    <s v="Cumul frais de transport local du mois de Mars 2025/Merveille"/>
    <s v="Transport"/>
    <s v="Office"/>
    <n v="9900"/>
    <n v="17.091036528206253"/>
    <n v="579.25099999999998"/>
    <s v="Merveille"/>
    <s v="M-M-D1"/>
    <s v="PALF"/>
    <x v="2"/>
    <s v="CONGO"/>
    <m/>
    <m/>
    <m/>
  </r>
  <r>
    <x v="53"/>
    <s v="Paiement salaire des jours travaillés en février 2025/Parfaite"/>
    <s v="Personnel"/>
    <s v="Office"/>
    <n v="131428"/>
    <n v="226.89300493223146"/>
    <n v="579.25099999999998"/>
    <s v="Merveille"/>
    <s v="CA-M-R11"/>
    <s v="PALF"/>
    <x v="2"/>
    <s v="CONGO"/>
    <m/>
    <m/>
    <m/>
  </r>
  <r>
    <x v="53"/>
    <s v="Frais de transport mission maitre Marie Helène à Owando du 05 au 07/03/2025 suivi audience cas EBI"/>
    <s v="Transport"/>
    <s v="Legal"/>
    <n v="20000"/>
    <n v="34.527346521628793"/>
    <n v="579.25099999999998"/>
    <s v="Merveille"/>
    <s v="CA-M-R16"/>
    <s v="PALF"/>
    <x v="2"/>
    <s v="CONGO"/>
    <m/>
    <m/>
    <m/>
  </r>
  <r>
    <x v="53"/>
    <s v="Ration et frais d'hotel mission maitre Marie Helène à Owando du 05 au 07/03/2025 suivi audience cas EBI"/>
    <s v="Travel Subsistence"/>
    <s v="Legal"/>
    <n v="50000"/>
    <n v="86.318366304071986"/>
    <n v="579.25099999999998"/>
    <s v="Merveille"/>
    <s v="CA-M-R17"/>
    <s v="PALF"/>
    <x v="2"/>
    <s v="CONGO"/>
    <m/>
    <m/>
    <m/>
  </r>
  <r>
    <x v="53"/>
    <s v="Bonus du mois de Janvier 2025/Crepin"/>
    <s v="Personnel"/>
    <s v="Legal"/>
    <n v="30000"/>
    <n v="51.791019782443193"/>
    <n v="579.25099999999998"/>
    <s v="Merveille"/>
    <s v="CA-M-D10"/>
    <s v="PALF"/>
    <x v="2"/>
    <s v="CONGO"/>
    <m/>
    <m/>
    <m/>
  </r>
  <r>
    <x v="53"/>
    <s v="Bonus operation du 24/02/2025 à Owando/Crepin"/>
    <s v="Bonus"/>
    <s v="Operation"/>
    <n v="50000"/>
    <n v="86.318366304071986"/>
    <n v="579.25099999999998"/>
    <s v="Merveille"/>
    <s v="CA-M-D11"/>
    <s v="PALF"/>
    <x v="2"/>
    <s v="CONGO"/>
    <m/>
    <m/>
    <m/>
  </r>
  <r>
    <x v="53"/>
    <s v="Frais de transfert d'argent à Romain et Crepin"/>
    <s v="Transfer fees"/>
    <s v="Office"/>
    <n v="8700"/>
    <n v="15.019395736908526"/>
    <n v="579.25099999999998"/>
    <s v="Parfaite"/>
    <s v="CA-M-R14"/>
    <s v="PALF"/>
    <x v="2"/>
    <s v="CONGO"/>
    <m/>
    <m/>
    <m/>
  </r>
  <r>
    <x v="53"/>
    <s v="Complement frais de mission maitre Banzouzi du 04 au 08/03/3035 à Owando"/>
    <s v="Travel Subsistence"/>
    <s v="Legal"/>
    <n v="100000"/>
    <n v="172.63673260814397"/>
    <n v="579.25099999999998"/>
    <s v="Parfaite"/>
    <s v="CA-M-R15"/>
    <s v="PALF"/>
    <x v="2"/>
    <s v="CONGO"/>
    <m/>
    <m/>
    <m/>
  </r>
  <r>
    <x v="53"/>
    <s v="payement frais d'inscription et mensuel pour la formation en anglais"/>
    <s v="Personnel"/>
    <s v="Team Building"/>
    <n v="65000"/>
    <n v="112.21387619529358"/>
    <n v="579.25099999999998"/>
    <s v="T73"/>
    <s v="T73-M-R1"/>
    <s v="PALF"/>
    <x v="2"/>
    <s v="CONGO"/>
    <m/>
    <m/>
    <m/>
  </r>
  <r>
    <x v="53"/>
    <s v="ROMAIN-CONGO Ration du 04 au 08/03/2025 à Owando (04 Nuitées) "/>
    <s v="Travel Subsistence"/>
    <s v="Légal"/>
    <n v="40000"/>
    <n v="69.054693043257586"/>
    <n v="579.25099999999998"/>
    <s v="Romain"/>
    <s v="RM-M-D1"/>
    <s v="PALF"/>
    <x v="2"/>
    <s v="CONGO"/>
    <m/>
    <m/>
    <m/>
  </r>
  <r>
    <x v="53"/>
    <s v="Frais de transfert d'argent en RDC"/>
    <s v="Transfer fees"/>
    <s v="Office"/>
    <n v="1952"/>
    <n v="3.3698690205109703"/>
    <n v="579.25099999999998"/>
    <s v="Roderlin"/>
    <s v="CA-M-R13"/>
    <s v="PALF"/>
    <x v="2"/>
    <s v="CONGO"/>
    <m/>
    <m/>
    <m/>
  </r>
  <r>
    <x v="53"/>
    <s v="Bonus media portant sur l'interpellation de 2 Présumés trafiquants le 24/02/205 à Owando"/>
    <s v="Bonus to media office"/>
    <s v="Media"/>
    <n v="148000"/>
    <n v="255.50236426005307"/>
    <n v="579.25099999999998"/>
    <s v="Evariste"/>
    <s v="CA-M-D9"/>
    <s v="PALF"/>
    <x v="2"/>
    <s v="CONGO"/>
    <m/>
    <m/>
    <m/>
  </r>
  <r>
    <x v="54"/>
    <s v="CREPIN - CONGO Ration du du 05 au 08/03/2025  03 Nuitées  à Owando(03 Nuitées)"/>
    <s v="Travel Subsistence"/>
    <s v="Légal"/>
    <n v="30000"/>
    <n v="51.791019782443193"/>
    <n v="579.25099999999998"/>
    <s v="Crépin"/>
    <s v="CR-M-D1"/>
    <s v="PALF"/>
    <x v="2"/>
    <s v="CONGO"/>
    <m/>
    <m/>
    <m/>
  </r>
  <r>
    <x v="55"/>
    <s v="Règlement loyer du mois de Février 2025/DOVI Coordinateur PALF "/>
    <s v="Personnel"/>
    <s v="Management"/>
    <n v="174625"/>
    <n v="301.46689431697143"/>
    <n v="579.25099999999998"/>
    <s v="DOVI"/>
    <s v="DH-M-R2"/>
    <s v="PALF"/>
    <x v="2"/>
    <s v="CONGO"/>
    <m/>
    <m/>
    <m/>
  </r>
  <r>
    <x v="55"/>
    <s v="Bonus à un informateur en RDC"/>
    <s v="Trust Building"/>
    <s v="Investigation"/>
    <n v="30000"/>
    <n v="51.791019782443193"/>
    <n v="579.25099999999998"/>
    <s v="DOVI"/>
    <s v="CA-M-R18"/>
    <s v="PALF"/>
    <x v="2"/>
    <s v="CONGO"/>
    <m/>
    <m/>
    <m/>
  </r>
  <r>
    <x v="55"/>
    <s v="Achat billet brazzaville - dolisie/G12"/>
    <s v="Transport"/>
    <s v="Investigation"/>
    <n v="7000"/>
    <n v="12.084571282570078"/>
    <n v="579.25099999999998"/>
    <s v="G12"/>
    <s v="G12-M-R1"/>
    <s v="PALF"/>
    <x v="2"/>
    <s v="CONGO"/>
    <m/>
    <m/>
    <m/>
  </r>
  <r>
    <x v="55"/>
    <s v="Frais de transfert Bonus à un informateur en RDC"/>
    <s v="Transfer fees"/>
    <s v="Office"/>
    <n v="1952"/>
    <n v="3.3698690205109703"/>
    <n v="579.25099999999998"/>
    <s v="Roderlin"/>
    <s v="CA-M-R19"/>
    <s v="PALF"/>
    <x v="2"/>
    <s v="CONGO"/>
    <m/>
    <m/>
    <m/>
  </r>
  <r>
    <x v="56"/>
    <s v="Reparation de court -circuit électrique du bureau"/>
    <s v="Services"/>
    <s v="Office"/>
    <n v="20000"/>
    <n v="34.527346521628793"/>
    <n v="579.25099999999998"/>
    <s v="DOVI"/>
    <s v="CA-M-R20"/>
    <s v="PALF"/>
    <x v="2"/>
    <s v="CONGO"/>
    <m/>
    <m/>
    <m/>
  </r>
  <r>
    <x v="56"/>
    <s v="G12 - GONGO Ration du 07 au 24/03/2025 à Dolisie et Madingou "/>
    <s v="Travel Subsistence"/>
    <s v="Investigation"/>
    <n v="170000"/>
    <n v="293.48244543384476"/>
    <n v="579.25099999999998"/>
    <s v="G12"/>
    <s v="G12-M-D1"/>
    <s v="PALF"/>
    <x v="2"/>
    <s v="CONGO"/>
    <m/>
    <m/>
    <m/>
  </r>
  <r>
    <x v="56"/>
    <s v="RAPATRIEME01100 RAO00010768/CHENE"/>
    <s v="Grant"/>
    <m/>
    <m/>
    <n v="0"/>
    <n v="579.64599999999996"/>
    <s v="BCI"/>
    <s v="BQ-M-G1"/>
    <s v="PALF"/>
    <x v="2"/>
    <s v="CONGO"/>
    <n v="17389380"/>
    <n v="30000"/>
    <m/>
  </r>
  <r>
    <x v="56"/>
    <s v="RAPATRIEME01100 RAO00010768/OAT"/>
    <s v="Grant"/>
    <m/>
    <m/>
    <n v="0"/>
    <n v="579.64599999999996"/>
    <s v="BCI"/>
    <s v="BQ-M-G2"/>
    <s v="PALF"/>
    <x v="3"/>
    <s v="CONGO"/>
    <n v="2898230"/>
    <n v="5000"/>
    <m/>
  </r>
  <r>
    <x v="57"/>
    <s v="CREPIN-IBOULI CONGO Hébergement à l'hôtel Case Mbali d'Owando, 07 Nuitées du  01 au 08/03/2025 "/>
    <s v="Travel Subsistence"/>
    <s v="Légal"/>
    <n v="105000"/>
    <n v="181.14504369908531"/>
    <n v="579.64599999999996"/>
    <s v="Crépin"/>
    <s v="CR-M-R2"/>
    <s v="PALF"/>
    <x v="2"/>
    <s v="CONGO"/>
    <m/>
    <m/>
    <m/>
  </r>
  <r>
    <x v="57"/>
    <s v="Billet: Owando-Brazaville/Crepin"/>
    <s v="Transport"/>
    <s v="Légal"/>
    <n v="7000"/>
    <n v="12.076336246605688"/>
    <n v="579.64599999999996"/>
    <s v="Crépin"/>
    <s v="CR-M-R3"/>
    <s v="PALF"/>
    <x v="2"/>
    <s v="CONGO"/>
    <m/>
    <m/>
    <m/>
  </r>
  <r>
    <x v="57"/>
    <s v="ROMAIN - CONGO Frais d'hotel du 25/02/au 08/03/2025 à Owando"/>
    <s v="Travel Subsistence"/>
    <s v="Légal"/>
    <n v="165000"/>
    <n v="284.6564972414198"/>
    <n v="579.64599999999996"/>
    <s v="Romain"/>
    <s v="RM-M-R1"/>
    <s v="PALF"/>
    <x v="2"/>
    <s v="CONGO"/>
    <m/>
    <m/>
    <m/>
  </r>
  <r>
    <x v="58"/>
    <s v="Bonus du mois de Février 2025/Romain"/>
    <s v="Personnel"/>
    <s v="Legal"/>
    <n v="30000"/>
    <n v="51.755726771167232"/>
    <n v="579.64599999999996"/>
    <s v="Merveille"/>
    <s v="CA-M-D12"/>
    <s v="PALF"/>
    <x v="2"/>
    <s v="CONGO"/>
    <m/>
    <m/>
    <m/>
  </r>
  <r>
    <x v="58"/>
    <s v="Bonus operation du 24/02/2025 à Owando/Romain"/>
    <s v="Bonus"/>
    <s v="Operation"/>
    <n v="45000"/>
    <n v="77.633590156750856"/>
    <n v="579.64599999999996"/>
    <s v="Merveille"/>
    <s v="CA-M-D13"/>
    <s v="PALF"/>
    <x v="2"/>
    <s v="CONGO"/>
    <m/>
    <m/>
    <m/>
  </r>
  <r>
    <x v="58"/>
    <s v="Achat billet Brazzaville-Dolisie/P29"/>
    <s v="Transport"/>
    <s v="Investigation"/>
    <n v="10000"/>
    <n v="17.251908923722411"/>
    <n v="579.64599999999996"/>
    <s v="P29"/>
    <s v="P29-M-R1"/>
    <s v="PALF"/>
    <x v="2"/>
    <s v="CONGO"/>
    <m/>
    <m/>
    <m/>
  </r>
  <r>
    <x v="58"/>
    <s v="Cumul trust building du mois de Mars 2025/G12 "/>
    <s v="Trust Building"/>
    <s v="Investigation"/>
    <n v="16000"/>
    <n v="27.603054277955859"/>
    <n v="579.64599999999996"/>
    <s v="G12"/>
    <s v="G12-M-D2"/>
    <s v="PALF"/>
    <x v="2"/>
    <s v="CONGO"/>
    <m/>
    <m/>
    <m/>
  </r>
  <r>
    <x v="58"/>
    <s v="Frais de transfert d'argent à G12"/>
    <s v="Transfer fees"/>
    <s v="Office"/>
    <n v="4170"/>
    <n v="7.1940460211922455"/>
    <n v="579.64599999999996"/>
    <s v="Roderlin"/>
    <s v="CA-M-R21"/>
    <s v="PALF"/>
    <x v="2"/>
    <s v="CONGO"/>
    <m/>
    <m/>
    <m/>
  </r>
  <r>
    <x v="58"/>
    <s v="Paiement Honoraire Me LOCKO/Mois de Janvier 2025/3654793"/>
    <s v="Lawyer Fees"/>
    <s v="Legal"/>
    <n v="150000"/>
    <n v="258.77863385583618"/>
    <n v="579.64599999999996"/>
    <s v="BCI"/>
    <s v="BQ-M-R15"/>
    <s v="PALF"/>
    <x v="2"/>
    <s v="CONGO"/>
    <m/>
    <m/>
    <m/>
  </r>
  <r>
    <x v="58"/>
    <s v="Paiement Honoraire Me LOCKO/Mois de Février 2025/3654820"/>
    <s v="Lawyer Fees"/>
    <s v="Legal"/>
    <n v="150000"/>
    <n v="258.77863385583618"/>
    <n v="579.64599999999996"/>
    <s v="BCI"/>
    <s v="BQ-M-R16"/>
    <s v="PALF"/>
    <x v="2"/>
    <s v="CONGO"/>
    <m/>
    <m/>
    <m/>
  </r>
  <r>
    <x v="58"/>
    <s v="Paiement salaire du mois de Février 2025/Homéfa DOVI/3654812"/>
    <s v="Personnel"/>
    <s v="Management"/>
    <n v="1311000"/>
    <n v="2261.725259900008"/>
    <n v="579.64599999999996"/>
    <s v="BCI"/>
    <s v="BQ-M-R17"/>
    <s v="PALF"/>
    <x v="2"/>
    <s v="CONGO"/>
    <m/>
    <m/>
    <m/>
  </r>
  <r>
    <x v="59"/>
    <s v="Achat de 14 pagnes africain pour la JIF(08Mars)/Bureau PALF"/>
    <s v="Personnel"/>
    <s v="Team builiding"/>
    <n v="112000"/>
    <n v="193.22137994569101"/>
    <n v="579.64599999999996"/>
    <s v="Parfaite"/>
    <s v="CA-M-R23"/>
    <s v="PALF"/>
    <x v="2"/>
    <s v="CONGO"/>
    <m/>
    <m/>
    <m/>
  </r>
  <r>
    <x v="59"/>
    <s v="P29- CONGO Ration mission du 11 au 24/03/2025 à Dolisie et Madingou (13 Nuitées)"/>
    <s v="Travel Subsistence"/>
    <s v="Investigation"/>
    <n v="130000"/>
    <n v="224.27481600839135"/>
    <n v="579.64599999999996"/>
    <s v="P29"/>
    <s v="P29-M-D1"/>
    <s v="PALF"/>
    <x v="3"/>
    <s v="CONGO"/>
    <m/>
    <m/>
    <m/>
  </r>
  <r>
    <x v="59"/>
    <s v="T73 - CONGO Ration du 11 au 18/03/2025 (07nuitées) à Djambala,Lékana et NGO"/>
    <s v="Travel Subsistence"/>
    <s v="Investigation"/>
    <n v="70000"/>
    <n v="120.76336246605688"/>
    <n v="579.64599999999996"/>
    <s v="T73"/>
    <s v="T73-M-D1"/>
    <s v="PALF"/>
    <x v="3"/>
    <s v="CONGO"/>
    <m/>
    <m/>
    <m/>
  </r>
  <r>
    <x v="59"/>
    <s v="achat billet : Brazzaville - Djambala/T73"/>
    <s v="Transport"/>
    <s v="Investigation"/>
    <n v="6000"/>
    <n v="10.351145354233447"/>
    <n v="579.64599999999996"/>
    <s v="T73"/>
    <s v="T73-M-R2"/>
    <s v="PALF"/>
    <x v="3"/>
    <s v="CONGO"/>
    <m/>
    <m/>
    <m/>
  </r>
  <r>
    <x v="59"/>
    <s v="IT87 - CONGO Ration du 11 au 18/03/2025 à Pointe-Noire et Nkayi "/>
    <s v="Travel Subsistence"/>
    <s v="Investigation"/>
    <n v="70000"/>
    <n v="120.76336246605688"/>
    <n v="579.64599999999996"/>
    <s v="IT87"/>
    <s v="IT87-M-D1"/>
    <s v="PALF"/>
    <x v="3"/>
    <s v="CONGO"/>
    <m/>
    <m/>
    <m/>
  </r>
  <r>
    <x v="59"/>
    <s v="Achat billet Brazzaville - Pointe-Noire/ IT87"/>
    <s v="Transport"/>
    <s v="Investigation"/>
    <n v="12000"/>
    <n v="20.702290708466894"/>
    <n v="579.64599999999996"/>
    <s v="IT87"/>
    <s v="IT87-M-R1"/>
    <s v="PALF"/>
    <x v="3"/>
    <s v="CONGO"/>
    <m/>
    <m/>
    <m/>
  </r>
  <r>
    <x v="59"/>
    <s v="Règlement facture électricité piode Janvier-Février2025/bureau PALF"/>
    <s v="Rent &amp; Utilities"/>
    <s v="Office"/>
    <n v="72102"/>
    <n v="124.38971372182333"/>
    <n v="579.64599999999996"/>
    <s v="Roderlin"/>
    <s v="CA-M-R22"/>
    <s v="PALF"/>
    <x v="3"/>
    <s v="CONGO"/>
    <m/>
    <m/>
    <m/>
  </r>
  <r>
    <x v="59"/>
    <s v="Virement fonds à CJ"/>
    <s v="Grant"/>
    <m/>
    <n v="2107400"/>
    <n v="3635.6672865852611"/>
    <n v="579.64599999999996"/>
    <s v="BCI"/>
    <s v="BQ-M-G3"/>
    <s v="PALF"/>
    <x v="4"/>
    <s v="CONGO"/>
    <m/>
    <m/>
    <m/>
  </r>
  <r>
    <x v="59"/>
    <s v="Frais de virement de fonds à CJ"/>
    <s v="Bank fees"/>
    <s v="Office"/>
    <n v="24268"/>
    <n v="41.866932576089546"/>
    <n v="579.64599999999996"/>
    <s v="BCI"/>
    <s v="BQ-M-R18"/>
    <s v="PALF"/>
    <x v="3"/>
    <s v="CONGO"/>
    <m/>
    <m/>
    <m/>
  </r>
  <r>
    <x v="59"/>
    <s v="Paiement congé et jours travaillés en Mars 2025/Merveille MAHANGA"/>
    <s v="Personnel"/>
    <s v="Office"/>
    <n v="398693"/>
    <n v="687.82153245256598"/>
    <n v="579.64599999999996"/>
    <s v="BCI"/>
    <s v="BQ-M-R19"/>
    <s v="PALF"/>
    <x v="2"/>
    <s v="CONGO"/>
    <m/>
    <m/>
    <m/>
  </r>
  <r>
    <x v="59"/>
    <s v="Frais de virement salaire Mervielle Mars 2025"/>
    <s v="Bank fees"/>
    <s v="Office"/>
    <n v="18255"/>
    <n v="31.493359740255261"/>
    <n v="579.64599999999996"/>
    <s v="BCI"/>
    <s v="BQ-M-R20"/>
    <s v="PALF"/>
    <x v="3"/>
    <s v="CONGO"/>
    <m/>
    <m/>
    <m/>
  </r>
  <r>
    <x v="60"/>
    <s v="Achat produit d'entretien lait,sucre,javel,papier toilette,sucre,café/Bureau PALF "/>
    <s v="Office Materials"/>
    <s v="Office"/>
    <n v="56550"/>
    <n v="97.559544963650239"/>
    <n v="579.64599999999996"/>
    <s v="Parfaite"/>
    <s v="CA-M-R25"/>
    <s v="PALF"/>
    <x v="3"/>
    <s v="CONGO"/>
    <m/>
    <m/>
    <m/>
  </r>
  <r>
    <x v="60"/>
    <s v="Achat credit téléphonique MTN pour Donald Roméo periode du 12 au 31/03/2025"/>
    <s v="Telephone"/>
    <s v="Legal"/>
    <n v="15000"/>
    <n v="25.877863385583616"/>
    <n v="579.64599999999996"/>
    <s v="Parfaite"/>
    <s v="CA-M-R26"/>
    <s v="PALF"/>
    <x v="3"/>
    <s v="CONGO"/>
    <m/>
    <m/>
    <m/>
  </r>
  <r>
    <x v="60"/>
    <s v="T73 - CONGO Frais d'hotel du 11 au 12/03/2025 (01 nuitée ) à Djambala"/>
    <s v="Travel Subsistence"/>
    <s v="Investigation"/>
    <n v="15000"/>
    <n v="25.877863385583616"/>
    <n v="579.64599999999996"/>
    <s v="T73"/>
    <s v="T73-M-R3"/>
    <s v="PALF"/>
    <x v="3"/>
    <s v="CONGO"/>
    <m/>
    <m/>
    <m/>
  </r>
  <r>
    <x v="60"/>
    <s v="achat billet : Djambala - Lékana/T73"/>
    <s v="Transport"/>
    <s v="Investigation"/>
    <n v="4000"/>
    <n v="6.9007635694889649"/>
    <n v="579.64599999999996"/>
    <s v="T73"/>
    <s v="T73-M-R4"/>
    <s v="PALF"/>
    <x v="3"/>
    <s v="CONGO"/>
    <m/>
    <m/>
    <m/>
  </r>
  <r>
    <x v="60"/>
    <s v="Achat eau mineral 16 Litres/Bureau"/>
    <s v="Office Materials"/>
    <s v="Office"/>
    <n v="25000"/>
    <n v="43.129772309306027"/>
    <n v="579.64599999999996"/>
    <s v="Roderlin"/>
    <s v="CA-M-R24"/>
    <s v="PALF"/>
    <x v="3"/>
    <s v="CONGO"/>
    <m/>
    <m/>
    <m/>
  </r>
  <r>
    <x v="61"/>
    <s v="Frais de transfert d'argent à G12"/>
    <s v="Transfer fees"/>
    <s v="Office"/>
    <n v="1740"/>
    <n v="3.0018321527276997"/>
    <n v="579.64599999999996"/>
    <s v="Roderlin"/>
    <s v="CA-M-R27"/>
    <s v="PALF"/>
    <x v="3"/>
    <s v="CONGO"/>
    <m/>
    <m/>
    <m/>
  </r>
  <r>
    <x v="62"/>
    <s v="T73 - CONGO Frais d'hotel du 12 au 14/03/2025 (02 nuitées ) à Lékana"/>
    <s v="Travel Subsistence"/>
    <s v="Investigation"/>
    <n v="30000"/>
    <n v="51.755726771167232"/>
    <n v="579.64599999999996"/>
    <s v="T73"/>
    <s v="T73-M-R5"/>
    <s v="PALF"/>
    <x v="3"/>
    <s v="CONGO"/>
    <m/>
    <m/>
    <m/>
  </r>
  <r>
    <x v="62"/>
    <s v="achat billet : Lekana - Djambala/T73"/>
    <s v="Transport"/>
    <s v="Investigation"/>
    <n v="4000"/>
    <n v="6.9007635694889649"/>
    <n v="579.64599999999996"/>
    <s v="T73"/>
    <s v="T73-M-R6"/>
    <s v="PALF"/>
    <x v="3"/>
    <s v="CONGO"/>
    <m/>
    <m/>
    <m/>
  </r>
  <r>
    <x v="62"/>
    <s v="Solde honoraire contrat N°81_Owando cas MONICK François/Maitre Marie Alain BAZOUNZI"/>
    <s v="Lawyer Fees"/>
    <s v="Legal"/>
    <n v="300000"/>
    <n v="517.55726771167235"/>
    <n v="579.64599999999996"/>
    <s v="BCI"/>
    <s v="BQ-M-R21"/>
    <s v="PALF"/>
    <x v="2"/>
    <s v="CONGO"/>
    <m/>
    <m/>
    <m/>
  </r>
  <r>
    <x v="62"/>
    <s v="Acompte honoraire contrat N°82_Owando cas NGASSAKI Dany et ELOMBO Levy/Maitre Marie Alain BAZOUNZI"/>
    <s v="Lawyer Fees"/>
    <s v="Legal"/>
    <n v="200000"/>
    <n v="345.03817847444822"/>
    <n v="579.64599999999996"/>
    <s v="BCI"/>
    <s v="BQ-M-R22"/>
    <s v="PALF"/>
    <x v="2"/>
    <s v="CONGO"/>
    <m/>
    <m/>
    <m/>
  </r>
  <r>
    <x v="63"/>
    <s v="T73 - CONGO Frais d'hotel du 14 au 15/03/2025 (01 nuitée ) à Djambala"/>
    <s v="Travel Subsistence"/>
    <s v="Investigation"/>
    <n v="15000"/>
    <n v="25.877863385583616"/>
    <n v="579.64599999999996"/>
    <s v="T73"/>
    <s v="T73-M-R7"/>
    <s v="PALF"/>
    <x v="3"/>
    <s v="CONGO"/>
    <m/>
    <m/>
    <m/>
  </r>
  <r>
    <x v="63"/>
    <s v="achat billet : Djambala - Ngo/T73"/>
    <s v="Transport"/>
    <s v="Investigation"/>
    <n v="4000"/>
    <n v="6.9007635694889649"/>
    <n v="579.64599999999996"/>
    <s v="T73"/>
    <s v="T73-M-R8"/>
    <s v="PALF"/>
    <x v="3"/>
    <s v="CONGO"/>
    <m/>
    <m/>
    <m/>
  </r>
  <r>
    <x v="64"/>
    <s v="Billet: Brazzaville-Dolisie/Crépin"/>
    <s v="Transport"/>
    <s v="Légal"/>
    <n v="10000"/>
    <n v="17.251908923722411"/>
    <n v="579.64599999999996"/>
    <s v="Crépin"/>
    <s v="CR-M-R4"/>
    <s v="PALF"/>
    <x v="3"/>
    <s v="CONGO"/>
    <m/>
    <m/>
    <m/>
  </r>
  <r>
    <x v="64"/>
    <s v="IT87- CONGO Frais d'hôtel du 11 au 16/03/2025 à Pointe-Noire (05 nuitées)"/>
    <s v="Travel Subsistence"/>
    <s v="Investigation"/>
    <n v="75000"/>
    <n v="129.38931692791809"/>
    <n v="579.64599999999996"/>
    <s v="IT87"/>
    <s v="IT87-M-R2"/>
    <s v="PALF"/>
    <x v="3"/>
    <s v="CONGO"/>
    <m/>
    <m/>
    <m/>
  </r>
  <r>
    <x v="64"/>
    <s v="Achat billet Pointe-Noire - Nkayi/ IT87"/>
    <s v="Transport"/>
    <s v="Investigation"/>
    <n v="7000"/>
    <n v="12.076336246605688"/>
    <n v="579.64599999999996"/>
    <s v="IT87"/>
    <s v="IT87-M-R3"/>
    <s v="PALF"/>
    <x v="3"/>
    <s v="CONGO"/>
    <m/>
    <m/>
    <m/>
  </r>
  <r>
    <x v="64"/>
    <s v="Achat Billet Brazzaville-Dolisie/Romain"/>
    <s v="Transport"/>
    <s v="Légal"/>
    <n v="10000"/>
    <n v="17.251908923722411"/>
    <n v="579.64599999999996"/>
    <s v="Romain"/>
    <s v="RM-M-R2"/>
    <s v="PALF"/>
    <x v="3"/>
    <s v="CONGO"/>
    <m/>
    <m/>
    <m/>
  </r>
  <r>
    <x v="64"/>
    <s v="Billet Brazzaville-Dolisie/Abraham"/>
    <s v="Transport"/>
    <s v="Legal"/>
    <n v="10000"/>
    <n v="17.251908923722411"/>
    <n v="579.64599999999996"/>
    <s v="Abraham"/>
    <s v="AB-M-R3"/>
    <s v="PALF"/>
    <x v="3"/>
    <s v="CONGO"/>
    <m/>
    <m/>
    <m/>
  </r>
  <r>
    <x v="64"/>
    <s v="Achat billet Brazzaville-Dolisie/Donald-Roméo"/>
    <s v="Transport "/>
    <s v="Legal"/>
    <n v="10000"/>
    <n v="17.251908923722411"/>
    <n v="579.64599999999996"/>
    <s v="Donald-Romeo"/>
    <s v="DR-M-R1"/>
    <s v="PALF"/>
    <x v="3"/>
    <s v="CONGO"/>
    <m/>
    <m/>
    <m/>
  </r>
  <r>
    <x v="64"/>
    <s v="Achat billet Brazzaville-Dolisie/Evariste "/>
    <s v="Transport"/>
    <s v="Operation"/>
    <n v="10000"/>
    <n v="17.251908923722411"/>
    <n v="579.64599999999996"/>
    <s v="Evariste"/>
    <s v="EV-M-R1"/>
    <s v="PALF"/>
    <x v="3"/>
    <s v="CONGO"/>
    <m/>
    <m/>
    <m/>
  </r>
  <r>
    <x v="65"/>
    <s v="CREPIN - CONGO Ration  du 17/03/ au 05/04/2025 à Dolisie(19 Nuitées)"/>
    <s v="Travel Subsistence"/>
    <s v="Opération"/>
    <n v="190000"/>
    <n v="327.78626955072582"/>
    <n v="579.64599999999996"/>
    <s v="Crépin"/>
    <s v="CR-M-D2"/>
    <s v="PALF"/>
    <x v="2"/>
    <s v="CONGO"/>
    <m/>
    <m/>
    <m/>
  </r>
  <r>
    <x v="65"/>
    <s v="Frais de transfert d'argent à P29 et G12"/>
    <s v="Transfer fees"/>
    <s v="Office"/>
    <n v="12690"/>
    <n v="21.892672424203738"/>
    <n v="579.64599999999996"/>
    <s v="Parfaite"/>
    <s v="CA-M-R28"/>
    <s v="PALF"/>
    <x v="3"/>
    <s v="CONGO"/>
    <m/>
    <m/>
    <m/>
  </r>
  <r>
    <x v="65"/>
    <s v="Achat credit  teléphonique MTN/PALF/Deuxième partie du mois de Mars2025/Management"/>
    <s v="Telephone"/>
    <s v="Management"/>
    <n v="20000"/>
    <n v="34.503817847444822"/>
    <n v="579.64599999999996"/>
    <s v="Parfaite"/>
    <s v="CA-M-R29"/>
    <s v="PALF"/>
    <x v="3"/>
    <s v="CONGO"/>
    <m/>
    <m/>
    <m/>
  </r>
  <r>
    <x v="65"/>
    <s v="Achat credit  teléphonique MTN/PALF/Deuxième partie du mois de Mars 2025/Legal"/>
    <s v="Telephone"/>
    <s v="Legal"/>
    <n v="30000"/>
    <n v="51.755726771167232"/>
    <n v="579.64599999999996"/>
    <s v="Parfaite"/>
    <s v="CA-M-R30"/>
    <s v="PALF"/>
    <x v="3"/>
    <s v="CONGO"/>
    <m/>
    <m/>
    <m/>
  </r>
  <r>
    <x v="65"/>
    <s v="Achat credit  teléphonique MTN/PALF/Deuxième partie du mois de Mars 2025/Investigation"/>
    <s v="Telephone"/>
    <s v="Investigation"/>
    <n v="55000"/>
    <n v="94.885499080473267"/>
    <n v="579.64599999999996"/>
    <s v="Parfaite"/>
    <s v="CA-M-R31"/>
    <s v="PALF"/>
    <x v="3"/>
    <s v="CONGO"/>
    <m/>
    <m/>
    <m/>
  </r>
  <r>
    <x v="65"/>
    <s v="Achat credit  teléphonique MTN/PALF/deuxième partie du mois de Mars 2025/Media"/>
    <s v="Telephone"/>
    <s v="Media"/>
    <n v="10000"/>
    <n v="17.251908923722411"/>
    <n v="579.64599999999996"/>
    <s v="Parfaite"/>
    <s v="CA-M-R32"/>
    <s v="PALF"/>
    <x v="3"/>
    <s v="CONGO"/>
    <m/>
    <m/>
    <m/>
  </r>
  <r>
    <x v="65"/>
    <s v="Achat credit  teléphonique Airtel/PALF/Deuxième partie du mois de Mars 2025/Legal"/>
    <s v="Telephone"/>
    <s v="Legal"/>
    <n v="10000"/>
    <n v="17.251908923722411"/>
    <n v="579.64599999999996"/>
    <s v="Parfaite"/>
    <s v="CA-M-R33"/>
    <s v="PALF"/>
    <x v="3"/>
    <s v="CONGO"/>
    <m/>
    <m/>
    <m/>
  </r>
  <r>
    <x v="65"/>
    <s v="Achat credit  teléphonique Airtel/PALF/Deuxième partie du mois de Mars 2025/Investigation"/>
    <s v="Telephone"/>
    <s v="Investigation"/>
    <n v="5000"/>
    <n v="8.6259544618612054"/>
    <n v="579.64599999999996"/>
    <s v="Parfaite"/>
    <s v="CA-M-R34"/>
    <s v="PALF"/>
    <x v="3"/>
    <s v="CONGO"/>
    <m/>
    <m/>
    <m/>
  </r>
  <r>
    <x v="65"/>
    <s v="ROMAIN-CONGO: Ration du 17 au 29 mars 2025 à Dolisie et Sibiti/ 12 Nuitées"/>
    <s v="Travel Subsistence"/>
    <s v="Légal"/>
    <n v="120000"/>
    <n v="207.02290708466893"/>
    <n v="579.64599999999996"/>
    <s v="Romain"/>
    <s v="RM-M-D2"/>
    <s v="PALF"/>
    <x v="3"/>
    <s v="CONGO"/>
    <m/>
    <m/>
    <m/>
  </r>
  <r>
    <x v="65"/>
    <s v="ABRAHAM - CONGO Ration du 17/03/2025 au 26/03/2025 à Dolisie (09 Nuitées) "/>
    <s v="Travel Subsistence"/>
    <s v="Operation"/>
    <n v="90000"/>
    <n v="155.26718031350171"/>
    <n v="579.64599999999996"/>
    <s v="Abraham"/>
    <s v="AB-M-D1"/>
    <s v="PALF"/>
    <x v="3"/>
    <s v="CONGO"/>
    <m/>
    <m/>
    <m/>
  </r>
  <r>
    <x v="65"/>
    <s v="Ration  du  17/03/ au 05/04/2025 à Dolisie"/>
    <s v="Travel Subsistence"/>
    <s v="Legal"/>
    <n v="190000"/>
    <n v="327.78626955072582"/>
    <n v="579.64599999999996"/>
    <s v="Donald-Romeo"/>
    <s v="DR-M-D1"/>
    <s v="PALF"/>
    <x v="2"/>
    <s v="CONGO"/>
    <m/>
    <m/>
    <m/>
  </r>
  <r>
    <x v="65"/>
    <s v="EVARISTE - CONGO Ration du 17 au 26 mars 2025  à Dolisie/09 Nuitées"/>
    <s v="Travel Subsistence"/>
    <s v="Operation"/>
    <n v="90000"/>
    <n v="155.26718031350171"/>
    <n v="579.64599999999996"/>
    <s v="Evariste"/>
    <s v="EV-M-D1"/>
    <s v="PALF"/>
    <x v="3"/>
    <s v="CONGO"/>
    <m/>
    <m/>
    <m/>
  </r>
  <r>
    <x v="66"/>
    <s v="T73 - CONGO Frais d'hotel du 15 au 18/03/2025 (03 nuitées ) à Ngo"/>
    <s v="Travel Subsistence"/>
    <s v="Investigation"/>
    <n v="45000"/>
    <n v="77.633590156750856"/>
    <n v="579.64599999999996"/>
    <s v="T73"/>
    <s v="T73-M-R9"/>
    <s v="PALF"/>
    <x v="3"/>
    <s v="CONGO"/>
    <m/>
    <m/>
    <m/>
  </r>
  <r>
    <x v="66"/>
    <s v="achat billet : Ngo - Brazzaville/T73"/>
    <s v="Transport"/>
    <s v="Investigation"/>
    <n v="6000"/>
    <n v="10.351145354233447"/>
    <n v="579.64599999999996"/>
    <s v="T73"/>
    <s v="T73-M-R10"/>
    <s v="PALF"/>
    <x v="3"/>
    <s v="CONGO"/>
    <m/>
    <m/>
    <m/>
  </r>
  <r>
    <x v="66"/>
    <s v="IT87- CONGO Frais d'hôtel  du 16 au 18/03/2025 à Nkayi ( 02 nuitées)"/>
    <s v="Travel Subsistence"/>
    <s v="Investigation"/>
    <n v="30000"/>
    <n v="51.755726771167232"/>
    <n v="579.64599999999996"/>
    <s v="IT87"/>
    <s v="IT87-M-R4"/>
    <s v="PALF"/>
    <x v="2"/>
    <s v="CONGO"/>
    <m/>
    <m/>
    <m/>
  </r>
  <r>
    <x v="66"/>
    <s v="Achat billet Nkayi -Brazzaville/ IT87"/>
    <s v="Transport"/>
    <s v="Investigation"/>
    <n v="7000"/>
    <n v="12.076336246605688"/>
    <n v="579.64599999999996"/>
    <s v="IT87"/>
    <s v="IT87-M-R5"/>
    <s v="PALF"/>
    <x v="2"/>
    <s v="CONGO"/>
    <m/>
    <m/>
    <m/>
  </r>
  <r>
    <x v="66"/>
    <s v="Achat billet Brazzaville-Owando/Roderlin"/>
    <s v="Transport"/>
    <s v="Legal"/>
    <n v="7000"/>
    <n v="12.076336246605688"/>
    <n v="579.64599999999996"/>
    <s v="Roderlin"/>
    <s v="RO-M-R1"/>
    <s v="PALF"/>
    <x v="2"/>
    <s v="CONGO"/>
    <m/>
    <m/>
    <m/>
  </r>
  <r>
    <x v="66"/>
    <s v="Frais de transport mission maitre Marie Helène à Owando du 19 au 22/03/2025 suivi audience cas EBI "/>
    <s v="Transport"/>
    <s v="Legal"/>
    <n v="21000"/>
    <n v="36.229008739817061"/>
    <n v="579.64599999999996"/>
    <s v="Roderlin"/>
    <s v="CA-M-R35"/>
    <s v="PALF"/>
    <x v="2"/>
    <s v="CONGO"/>
    <m/>
    <m/>
    <m/>
  </r>
  <r>
    <x v="66"/>
    <s v="Ration et Frais d'hôtel  mission maitre Marie Helène à Owando du 19 au 22/03/2025 suivi audience cas EBI "/>
    <s v="Travel Subsistence"/>
    <s v="Legal"/>
    <n v="75000"/>
    <n v="129.38931692791809"/>
    <n v="579.64599999999996"/>
    <s v="Roderlin"/>
    <s v="CA-M-R36"/>
    <s v="PALF"/>
    <x v="2"/>
    <s v="CONGO"/>
    <m/>
    <m/>
    <m/>
  </r>
  <r>
    <x v="66"/>
    <s v="Frais de transport mission à Owando de maitre Alain du 19au 21/03/2025 suivi audience à Owando"/>
    <s v="Transport"/>
    <s v="Legal"/>
    <n v="21000"/>
    <n v="36.229008739817061"/>
    <n v="579.64599999999996"/>
    <s v="Roderlin"/>
    <s v="CA-M-R37"/>
    <s v="PALF"/>
    <x v="2"/>
    <s v="CONGO"/>
    <m/>
    <m/>
    <m/>
  </r>
  <r>
    <x v="66"/>
    <s v="Ration et Frais d'hôtel mission à Owando de maitre Alain du 19 au 21/03/2025 suivi audience à Owando "/>
    <s v="Travel Subsistence"/>
    <s v="Legal"/>
    <n v="50000"/>
    <n v="86.259544618612054"/>
    <n v="579.64599999999996"/>
    <s v="Roderlin"/>
    <s v="CA-M-R38"/>
    <s v="PALF"/>
    <x v="2"/>
    <s v="CONGO"/>
    <m/>
    <m/>
    <m/>
  </r>
  <r>
    <x v="67"/>
    <s v="CREPIN - CONGO  Frais d'hôtel à Dolisie du 17 au 19/03/2025, 02 Nuitées"/>
    <s v="Travel Subsistence"/>
    <s v="Opération"/>
    <n v="30000"/>
    <n v="51.755726771167232"/>
    <n v="579.64599999999996"/>
    <s v="Crépin"/>
    <s v="CR-M-R5"/>
    <s v="PALF"/>
    <x v="2"/>
    <s v="CONGO"/>
    <m/>
    <m/>
    <m/>
  </r>
  <r>
    <x v="67"/>
    <s v="Frais de transfert d'argent à Crepin, Evariste, Abraham, Romain et Donald-Romeo"/>
    <s v="Transfer fees"/>
    <s v="Office"/>
    <n v="19830"/>
    <n v="34.210535395741545"/>
    <n v="579.64599999999996"/>
    <s v="Parfaite"/>
    <s v="CA-M-R39"/>
    <s v="PALF"/>
    <x v="2"/>
    <s v="CONGO"/>
    <m/>
    <m/>
    <m/>
  </r>
  <r>
    <x v="67"/>
    <s v="Achat 05 Cartouche d'encre  HP Laser noire et couleur 216A"/>
    <s v="Office Materials"/>
    <s v="Office"/>
    <n v="300000"/>
    <n v="517.55726771167235"/>
    <n v="579.64599999999996"/>
    <s v="Parfaite"/>
    <s v="CA-M-R40"/>
    <s v="PALF"/>
    <x v="2"/>
    <s v="CONGO"/>
    <m/>
    <m/>
    <m/>
  </r>
  <r>
    <x v="67"/>
    <s v="P29 -CONGO Frais d'hotel du 11 au 19/03/2025 à Dolisie (08 Nuitées)"/>
    <s v="Travel Subsistence"/>
    <s v="Investigation"/>
    <n v="120000"/>
    <n v="207.02290708466893"/>
    <n v="579.64599999999996"/>
    <s v="P29"/>
    <s v="P29-M-R2"/>
    <s v="PALF"/>
    <x v="2"/>
    <s v="CONGO"/>
    <m/>
    <m/>
    <m/>
  </r>
  <r>
    <x v="67"/>
    <s v="Achat sim/T73"/>
    <s v="Investigation materials"/>
    <s v="Investigation"/>
    <n v="10000"/>
    <n v="17.251908923722411"/>
    <n v="579.64599999999996"/>
    <s v="T73"/>
    <s v="T73-M-R11"/>
    <s v="PALF"/>
    <x v="2"/>
    <s v="CONGO"/>
    <m/>
    <m/>
    <m/>
  </r>
  <r>
    <x v="67"/>
    <s v="RODERLIN-CONGO Ration du 19 au 22/03/2025 à Owando (03 nuitées)"/>
    <s v="Travel Subsistence"/>
    <s v="Legal"/>
    <n v="30000"/>
    <n v="51.755726771167232"/>
    <n v="579.64599999999996"/>
    <s v="Roderlin"/>
    <s v="RO-M-D1"/>
    <s v="PALF"/>
    <x v="2"/>
    <s v="CONGO"/>
    <m/>
    <m/>
    <m/>
  </r>
  <r>
    <x v="68"/>
    <s v="Fonds envoyés à un informateur"/>
    <s v="Trust Building"/>
    <s v="Investigation"/>
    <n v="31000"/>
    <n v="53.480917663539472"/>
    <n v="579.64599999999996"/>
    <s v="DOVI"/>
    <s v="DH-M-R3"/>
    <s v="PALF"/>
    <x v="2"/>
    <s v="CONGO"/>
    <m/>
    <m/>
    <m/>
  </r>
  <r>
    <x v="68"/>
    <s v="Frais de transfert d'argent par western union à l'informateur"/>
    <s v="Transfer fees"/>
    <s v="Office"/>
    <n v="2017"/>
    <n v="3.4797100299148105"/>
    <n v="579.64599999999996"/>
    <s v="DOVI"/>
    <s v="DH-M-R4"/>
    <s v="PALF"/>
    <x v="2"/>
    <s v="CONGO"/>
    <m/>
    <m/>
    <m/>
  </r>
  <r>
    <x v="68"/>
    <s v="Achat billet Brazzaville - Mouyondzi/ IT87"/>
    <s v="Transport"/>
    <s v="Investigation"/>
    <n v="6000"/>
    <n v="10.351145354233447"/>
    <n v="579.64599999999996"/>
    <s v="IT87"/>
    <s v="IT87-M-R6"/>
    <s v="PALF"/>
    <x v="2"/>
    <s v="CONGO"/>
    <m/>
    <m/>
    <m/>
  </r>
  <r>
    <x v="68"/>
    <s v="Frais de transfert d'argent à P29 et G12"/>
    <s v="Transfer fees"/>
    <s v="Office"/>
    <n v="6320"/>
    <n v="10.903206439792564"/>
    <n v="579.64599999999996"/>
    <s v="G12"/>
    <s v="CA-M-R41"/>
    <s v="PALF"/>
    <x v="2"/>
    <s v="CONGO"/>
    <m/>
    <m/>
    <m/>
  </r>
  <r>
    <x v="69"/>
    <s v="Frais de transfert d'argent à Crepin, Evariste, Abraham, Romain et Donald-Romeo"/>
    <s v="Transfer fees"/>
    <s v="Office"/>
    <n v="14640"/>
    <n v="25.256794664329611"/>
    <n v="579.64599999999996"/>
    <s v="Parfaite"/>
    <s v="CA-M-R42"/>
    <s v="PALF"/>
    <x v="2"/>
    <s v="CONGO"/>
    <m/>
    <m/>
    <m/>
  </r>
  <r>
    <x v="69"/>
    <s v="T73 - CONGO Rattion  du 21 au 28/03/2025 à Pointe-Noire,Moukondo,Banda  (07nuitées)"/>
    <s v="Travel Subsistence"/>
    <s v="Investigation"/>
    <n v="70000"/>
    <n v="120.76336246605688"/>
    <n v="579.64599999999996"/>
    <s v="T73"/>
    <s v="T73-M-D2"/>
    <s v="PALF"/>
    <x v="2"/>
    <s v="CONGO"/>
    <m/>
    <m/>
    <m/>
  </r>
  <r>
    <x v="69"/>
    <s v="achat billet  Bazzaville - Pointe noire/T73"/>
    <s v="Transport"/>
    <s v="Investigation"/>
    <n v="9000"/>
    <n v="15.526718031350169"/>
    <n v="579.64599999999996"/>
    <s v="T73"/>
    <s v="T73-M-R12"/>
    <s v="PALF"/>
    <x v="2"/>
    <s v="CONGO"/>
    <m/>
    <m/>
    <m/>
  </r>
  <r>
    <x v="69"/>
    <s v="IT87 - CONGO Ration  du 21 au 28/03/2025 à Mouyonzi et Bouansa "/>
    <s v="Travel Subsistence"/>
    <s v="Investigation"/>
    <n v="70000"/>
    <n v="120.76336246605688"/>
    <n v="579.64599999999996"/>
    <s v="IT87"/>
    <s v="IT87-M-D2"/>
    <s v="PALF"/>
    <x v="2"/>
    <s v="CONGO"/>
    <m/>
    <m/>
    <m/>
  </r>
  <r>
    <x v="69"/>
    <s v="Achat billet Owando- Brazzaville /Roderlin"/>
    <s v="Transport"/>
    <s v="Legal"/>
    <n v="7000"/>
    <n v="12.076336246605688"/>
    <n v="579.64599999999996"/>
    <s v="Roderlin"/>
    <s v="RO-M-R2"/>
    <s v="PALF"/>
    <x v="2"/>
    <s v="CONGO"/>
    <m/>
    <m/>
    <m/>
  </r>
  <r>
    <x v="70"/>
    <s v="Raffraichissement et plats pendant l'attente de l'opération"/>
    <s v="Travel Subsistence"/>
    <s v="Opération"/>
    <n v="11800"/>
    <n v="20.357252529992444"/>
    <n v="579.64599999999996"/>
    <s v="Crépin"/>
    <s v="CR-M-R6"/>
    <s v="PALF"/>
    <x v="2"/>
    <s v="CONGO"/>
    <m/>
    <m/>
    <m/>
  </r>
  <r>
    <x v="70"/>
    <s v="Cumul frait de trust building du mois de Mars 2025/P29"/>
    <s v="Trust Building"/>
    <s v="Investigation"/>
    <n v="90100"/>
    <n v="155.43969940273894"/>
    <n v="579.64599999999996"/>
    <s v="P29"/>
    <s v="P29-M-D2"/>
    <s v="PALF"/>
    <x v="2"/>
    <s v="CONGO"/>
    <m/>
    <m/>
    <m/>
  </r>
  <r>
    <x v="70"/>
    <s v="Location vehicule 1 pour extraction  de BS à l'aeroport/P29"/>
    <s v="Transport"/>
    <s v="Investigation"/>
    <n v="15000"/>
    <n v="25.877863385583616"/>
    <n v="579.64599999999996"/>
    <s v="P29"/>
    <s v="P29-M-R3"/>
    <s v="PALF"/>
    <x v="2"/>
    <s v="CONGO"/>
    <m/>
    <m/>
    <m/>
  </r>
  <r>
    <x v="70"/>
    <s v="Location vehicule 2 pour extraction  de  l'aeroport à tsila/P29"/>
    <s v="Transport"/>
    <s v="Investigation"/>
    <n v="15000"/>
    <n v="25.877863385583616"/>
    <n v="579.64599999999996"/>
    <s v="P29"/>
    <s v="P29-M-R4"/>
    <s v="PALF"/>
    <x v="2"/>
    <s v="CONGO"/>
    <m/>
    <m/>
    <m/>
  </r>
  <r>
    <x v="70"/>
    <s v="Location véhicule pour extraction Dolisie-Madingou/P29"/>
    <s v="Transport"/>
    <s v="Investigation"/>
    <n v="50000"/>
    <n v="86.259544618612054"/>
    <n v="579.64599999999996"/>
    <s v="P29"/>
    <s v="P29-M-R5"/>
    <s v="PALF"/>
    <x v="2"/>
    <s v="CONGO"/>
    <m/>
    <m/>
    <m/>
  </r>
  <r>
    <x v="70"/>
    <s v="Achat billet madingou-brazzaville/P29"/>
    <s v="Transport"/>
    <s v="Investigation"/>
    <n v="7000"/>
    <n v="12.076336246605688"/>
    <n v="579.64599999999996"/>
    <s v="P29"/>
    <s v="P29-M-R6"/>
    <s v="PALF"/>
    <x v="2"/>
    <s v="CONGO"/>
    <m/>
    <m/>
    <m/>
  </r>
  <r>
    <x v="70"/>
    <s v="G12 - CONGO Frais d'hotel du 07 au 22/03/2025 à Dolisie (15 Nuitées) "/>
    <s v="Travel Subsistence"/>
    <s v="Investigation"/>
    <n v="225000"/>
    <n v="388.16795078375424"/>
    <n v="579.64599999999996"/>
    <s v="G12"/>
    <s v="G12-M-R2"/>
    <s v="PALF"/>
    <x v="2"/>
    <s v="CONGO"/>
    <m/>
    <m/>
    <m/>
  </r>
  <r>
    <x v="70"/>
    <s v="Achat billet Madingou - brazzaville/G12"/>
    <s v="Transport"/>
    <s v="Investigation"/>
    <n v="7000"/>
    <n v="12.076336246605688"/>
    <n v="579.64599999999996"/>
    <s v="G12"/>
    <s v="G12-M-R3"/>
    <s v="PALF"/>
    <x v="2"/>
    <s v="CONGO"/>
    <m/>
    <m/>
    <m/>
  </r>
  <r>
    <x v="70"/>
    <s v="Rafraichissement en attente opération "/>
    <s v="Travel Subsistence"/>
    <s v="Operation"/>
    <n v="9600"/>
    <n v="16.561832566773514"/>
    <n v="579.64599999999996"/>
    <s v="Romain"/>
    <s v="RM-M-R3"/>
    <s v="PALF"/>
    <x v="2"/>
    <s v="CONGO"/>
    <m/>
    <m/>
    <m/>
  </r>
  <r>
    <x v="70"/>
    <s v="Rafraîchissement attente OP"/>
    <s v="Travel Subsistence"/>
    <s v="Operation"/>
    <n v="8900"/>
    <n v="15.354198942112946"/>
    <n v="579.64599999999996"/>
    <s v="Abraham"/>
    <s v="AB-M-R4"/>
    <s v="PALF"/>
    <x v="2"/>
    <s v="CONGO"/>
    <m/>
    <m/>
    <m/>
  </r>
  <r>
    <x v="70"/>
    <s v="RODERLIN-CONGO frais d'hôtel du 19 au 22/03/2025 à Owando (03 nuitées)"/>
    <s v="Travel Subsistence"/>
    <s v="Legal"/>
    <n v="45000"/>
    <n v="77.633590156750856"/>
    <n v="579.64599999999996"/>
    <s v="Roderlin"/>
    <s v="RO-M-R3"/>
    <s v="PALF"/>
    <x v="3"/>
    <s v="CONGO"/>
    <m/>
    <m/>
    <m/>
  </r>
  <r>
    <x v="70"/>
    <s v="Achat carburant BJ OP"/>
    <s v="Transport "/>
    <s v="Operation"/>
    <n v="25000"/>
    <n v="43.129772309306027"/>
    <n v="579.64599999999996"/>
    <s v="Donald-Romeo"/>
    <s v="DR-M-R2"/>
    <s v="PALF"/>
    <x v="3"/>
    <s v="CONGO"/>
    <m/>
    <m/>
    <m/>
  </r>
  <r>
    <x v="70"/>
    <s v="Raffraichissement OP  à Owando/10  gendarmes et moi"/>
    <s v="Travel Subsistence"/>
    <s v="Legal"/>
    <n v="19200"/>
    <n v="33.123665133547028"/>
    <n v="579.64599999999996"/>
    <s v="Donald-Romeo"/>
    <s v="DR-M-R3"/>
    <s v="PALF"/>
    <x v="3"/>
    <s v="CONGO"/>
    <m/>
    <m/>
    <m/>
  </r>
  <r>
    <x v="70"/>
    <s v="Rafraichissement de mon équipe lors de l'opération"/>
    <s v="Travel Subsistence"/>
    <s v="Operation"/>
    <n v="9600"/>
    <n v="16.561832566773514"/>
    <n v="579.64599999999996"/>
    <s v="Evariste"/>
    <s v="EV-M-R2"/>
    <s v="PALF"/>
    <x v="3"/>
    <s v="CONGO"/>
    <m/>
    <m/>
    <m/>
  </r>
  <r>
    <x v="71"/>
    <s v="P29 -CONGO Frais d'hotel du 19 au 23/03/2025 à Dolisie lieu op(P29) (04 Nuitées)"/>
    <s v="Travel Subsistence"/>
    <s v="Operation"/>
    <n v="140000"/>
    <n v="241.52672493211375"/>
    <n v="579.64599999999996"/>
    <s v="P29"/>
    <s v="P29-M-R7"/>
    <s v="PALF"/>
    <x v="3"/>
    <s v="CONGO"/>
    <m/>
    <m/>
    <m/>
  </r>
  <r>
    <x v="71"/>
    <s v="P29 -CONGO Frais d'hotel du 19 au 23/03/2025 à Dolisie lieu op(Crépin) (04 Nuitées)"/>
    <s v="Travel Subsistence"/>
    <s v="Operation"/>
    <n v="140000"/>
    <n v="241.52672493211375"/>
    <n v="579.64599999999996"/>
    <s v="P29"/>
    <s v="P29-M-R8"/>
    <s v="PALF"/>
    <x v="3"/>
    <s v="CONGO"/>
    <m/>
    <m/>
    <m/>
  </r>
  <r>
    <x v="72"/>
    <s v="Bonus de 18 gendarmes pour l'opération du 22/03/2025 à Dolisie"/>
    <s v="Bonus"/>
    <s v="Opération"/>
    <n v="180000"/>
    <n v="310.53436062700342"/>
    <n v="579.64599999999996"/>
    <s v="Crépin"/>
    <s v="CR-M-R7"/>
    <s v="PALF"/>
    <x v="2"/>
    <s v="CONGO"/>
    <m/>
    <m/>
    <m/>
  </r>
  <r>
    <x v="72"/>
    <s v="Bonus de 02 EF pour l'opération du 22/03/2025 à Dolisie"/>
    <s v="Bonus"/>
    <s v="Opération"/>
    <n v="20000"/>
    <n v="34.503817847444822"/>
    <n v="579.64599999999996"/>
    <s v="Crépin"/>
    <s v="CR-M-R8"/>
    <s v="PALF"/>
    <x v="3"/>
    <s v="CONGO"/>
    <m/>
    <m/>
    <m/>
  </r>
  <r>
    <x v="72"/>
    <s v="Frais de transfert d'argent  à crepin et IT87"/>
    <s v="Transfer fees"/>
    <s v="Office"/>
    <n v="7780"/>
    <n v="13.421985142656036"/>
    <n v="579.64599999999996"/>
    <s v="Parfaite"/>
    <s v="CA-M-R44"/>
    <s v="PALF"/>
    <x v="2"/>
    <s v="CONGO"/>
    <m/>
    <m/>
    <m/>
  </r>
  <r>
    <x v="72"/>
    <s v="Frais de transfert d'argent à  T73 par  momo"/>
    <s v="Transfer fees"/>
    <s v="Office"/>
    <n v="6300"/>
    <n v="10.868702621945118"/>
    <n v="579.64599999999996"/>
    <s v="Parfaite"/>
    <s v="CA-M-R45"/>
    <s v="PALF"/>
    <x v="2"/>
    <s v="CONGO"/>
    <m/>
    <m/>
    <m/>
  </r>
  <r>
    <x v="72"/>
    <s v="Frais de transport mission à Dolisie de maitre BANZOUZI Alain du 25/03/ au 05/04/2025 suivi audience"/>
    <s v="Transport"/>
    <s v="Legal"/>
    <n v="42000"/>
    <n v="72.458017479634123"/>
    <n v="579.64599999999996"/>
    <s v="Parfaite"/>
    <s v="CA-M-R46"/>
    <s v="PALF"/>
    <x v="3"/>
    <s v="CONGO"/>
    <m/>
    <m/>
    <m/>
  </r>
  <r>
    <x v="72"/>
    <s v="P29 -CONGO Frais d'hotel du 22 au 24/03/2025 à Madingou (02 Nuitées)"/>
    <s v="Travel Subsistence"/>
    <s v="Investigation"/>
    <n v="30000"/>
    <n v="51.755726771167232"/>
    <n v="579.64599999999996"/>
    <s v="P29"/>
    <s v="P29-M-R9"/>
    <s v="PALF"/>
    <x v="3"/>
    <s v="CONGO"/>
    <m/>
    <m/>
    <m/>
  </r>
  <r>
    <x v="72"/>
    <s v="Cumul frait de transport du mois de Mars 2025/P29"/>
    <s v="Transport"/>
    <s v="Investigation"/>
    <n v="68000"/>
    <n v="117.3129806813124"/>
    <n v="579.64599999999996"/>
    <s v="P29"/>
    <s v="P29-M-D3"/>
    <s v="PALF"/>
    <x v="3"/>
    <s v="CONGO"/>
    <m/>
    <m/>
    <m/>
  </r>
  <r>
    <x v="72"/>
    <s v="achat billet Pointe Noire - Moukondo/T73"/>
    <s v="Transport"/>
    <s v="Investigation"/>
    <n v="5000"/>
    <n v="8.6259544618612054"/>
    <n v="579.64599999999996"/>
    <s v="T73"/>
    <s v="T73-M-R13"/>
    <s v="PALF"/>
    <x v="3"/>
    <s v="CONGO"/>
    <m/>
    <m/>
    <m/>
  </r>
  <r>
    <x v="72"/>
    <s v="T73 - CONGO Frais d'hotel du 21 au 24/03/2025 (03 nuitées ) à Pointe noire"/>
    <s v="Travel Subsistence"/>
    <s v="Investigation"/>
    <n v="45000"/>
    <n v="77.633590156750856"/>
    <n v="579.64599999999996"/>
    <s v="T73"/>
    <s v="T73-M-R14"/>
    <s v="PALF"/>
    <x v="3"/>
    <s v="CONGO"/>
    <m/>
    <m/>
    <m/>
  </r>
  <r>
    <x v="72"/>
    <s v="G12 - CONGO Frais d'hotel du 22 au 24/03/2025 à Madingou (02 Nuitées)"/>
    <s v="Travel Subsistence"/>
    <s v="Investigation"/>
    <n v="30000"/>
    <n v="51.755726771167232"/>
    <n v="579.64599999999996"/>
    <s v="G12"/>
    <s v="G12-M-R4"/>
    <s v="PALF"/>
    <x v="3"/>
    <s v="CONGO"/>
    <m/>
    <m/>
    <m/>
  </r>
  <r>
    <x v="72"/>
    <s v="Achat produit d'entretien  et Main d'œuvre du groupe électrogène/Bureau PALF"/>
    <s v="Office Materials"/>
    <s v="Office"/>
    <n v="101000"/>
    <n v="174.24428012959635"/>
    <n v="579.64599999999996"/>
    <s v="Roderlin"/>
    <s v="CA-M-R43"/>
    <s v="PALF"/>
    <x v="3"/>
    <s v="CONGO"/>
    <m/>
    <m/>
    <m/>
  </r>
  <r>
    <x v="72"/>
    <s v="Ration et frais d'hotel mission à Dolisie de maitre BANZOUZI Alain du 25/03/ au 05/04/2025 suivi audience "/>
    <s v="Travel Subsistence"/>
    <s v="Legal"/>
    <n v="275000"/>
    <n v="474.42749540236633"/>
    <n v="579.64599999999996"/>
    <s v="Roderlin"/>
    <s v="CA-M-R47"/>
    <s v="PALF"/>
    <x v="2"/>
    <s v="CONGO"/>
    <m/>
    <m/>
    <m/>
  </r>
  <r>
    <x v="73"/>
    <s v="achat billet Moukondo - Banda/T73"/>
    <s v="Transport"/>
    <s v="Investigation"/>
    <n v="15000"/>
    <n v="25.877863385583616"/>
    <n v="579.64599999999996"/>
    <s v="T73"/>
    <s v="T73-M-R15"/>
    <s v="PALF"/>
    <x v="3"/>
    <s v="CONGO"/>
    <m/>
    <m/>
    <m/>
  </r>
  <r>
    <x v="73"/>
    <s v="T73 - CONGO Frais d'hotel du 24 au 25/03/2025 (01nuitées) à Moukondo"/>
    <s v="Travel Subsistence"/>
    <s v="Investigation"/>
    <n v="15000"/>
    <n v="25.877863385583616"/>
    <n v="579.64599999999996"/>
    <s v="T73"/>
    <s v="T73-M-R16"/>
    <s v="PALF"/>
    <x v="3"/>
    <s v="CONGO"/>
    <m/>
    <m/>
    <m/>
  </r>
  <r>
    <x v="73"/>
    <s v="achat carte sim "/>
    <s v="Investigation materials"/>
    <s v="Investigation"/>
    <n v="10000"/>
    <n v="17.251908923722411"/>
    <n v="579.64599999999996"/>
    <s v="G12"/>
    <s v="G12-M-R5"/>
    <s v="PALF"/>
    <x v="3"/>
    <s v="CONGO"/>
    <m/>
    <m/>
    <m/>
  </r>
  <r>
    <x v="73"/>
    <s v="Frais de transfert d'argent à Crepin, Evariste, Abraham, Romain et Donald-Romeo"/>
    <s v="Transfer fees"/>
    <s v="Office"/>
    <n v="11820"/>
    <n v="20.391756347839891"/>
    <n v="579.64599999999996"/>
    <s v="G12"/>
    <s v="CA-M-R48"/>
    <s v="PALF"/>
    <x v="3"/>
    <s v="CONGO"/>
    <m/>
    <m/>
    <m/>
  </r>
  <r>
    <x v="74"/>
    <s v="Achat billet Dolisie-Brazzaville/Abraham"/>
    <s v="Transport"/>
    <s v="Legal"/>
    <n v="10000"/>
    <n v="17.251908923722411"/>
    <n v="579.64599999999996"/>
    <s v="Abraham"/>
    <s v="AB-M-R5"/>
    <s v="PALF"/>
    <x v="3"/>
    <s v="CONGO"/>
    <m/>
    <m/>
    <m/>
  </r>
  <r>
    <x v="73"/>
    <s v="Cumul frais de Jails visits du mois de Mars 2025/Abraham"/>
    <s v="Jail visit"/>
    <s v="Legal"/>
    <n v="14000"/>
    <n v="24.152672493211377"/>
    <n v="579.64599999999996"/>
    <s v="Abraham"/>
    <s v="AB-M-D2"/>
    <s v="PALF"/>
    <x v="3"/>
    <s v="CONGO"/>
    <m/>
    <m/>
    <m/>
  </r>
  <r>
    <x v="72"/>
    <s v="ABRAHAM - CONGO frais d'Hôtel (Hôtel La Gloire) du 17/03/2025 au 26/03/2025 Dolisie (09Nuitées)"/>
    <s v="Travel Subsistence"/>
    <s v="Legal"/>
    <n v="135000"/>
    <n v="232.90077047025255"/>
    <n v="579.64599999999996"/>
    <s v="Abraham"/>
    <s v="AB-M-R6"/>
    <s v="PALF"/>
    <x v="2"/>
    <s v="CONGO"/>
    <m/>
    <m/>
    <m/>
  </r>
  <r>
    <x v="73"/>
    <s v="Achat carburant groupe electrogène Bureau"/>
    <s v="Office Materials"/>
    <s v="Office"/>
    <n v="25000"/>
    <n v="43.129772309306027"/>
    <n v="579.64599999999996"/>
    <s v="Roderlin"/>
    <s v="CA-M-R49"/>
    <s v="PALF"/>
    <x v="2"/>
    <s v="CONGO"/>
    <m/>
    <m/>
    <m/>
  </r>
  <r>
    <x v="73"/>
    <s v="Paiement salaire du mois de Mars 2025/Homéfa DOVI/3654835"/>
    <s v="Personnel"/>
    <s v="Management"/>
    <n v="1311000"/>
    <n v="2261.725259900008"/>
    <n v="579.64599999999996"/>
    <s v="BCI"/>
    <s v="BQ-M-R23"/>
    <s v="PALF"/>
    <x v="2"/>
    <s v="CONGO"/>
    <m/>
    <m/>
    <m/>
  </r>
  <r>
    <x v="73"/>
    <s v="Paiement salaire du mois de Mars 2025/BAVOUMINA NZOUSSI Dina Parfaite/365831"/>
    <s v="Personnel"/>
    <s v="Office"/>
    <n v="230000"/>
    <n v="396.79390524561546"/>
    <n v="579.64599999999996"/>
    <s v="BCI"/>
    <s v="BQ-M-R24"/>
    <s v="PALF"/>
    <x v="2"/>
    <s v="CONGO"/>
    <m/>
    <m/>
    <m/>
  </r>
  <r>
    <x v="73"/>
    <s v="Paiement salaire du mois de Mars 2025/FOUMBA Roderlin/3654825"/>
    <s v="Personnel"/>
    <s v="Legal"/>
    <n v="200000"/>
    <n v="345.03817847444822"/>
    <n v="579.64599999999996"/>
    <s v="BCI"/>
    <s v="BQ-M-R25"/>
    <s v="PALF"/>
    <x v="2"/>
    <s v="CONGO"/>
    <m/>
    <m/>
    <m/>
  </r>
  <r>
    <x v="73"/>
    <s v="Paiement salaire du mois de Mars 2025/BOUNGOU MAKOSSO Abraham/3654824"/>
    <s v="Personnel"/>
    <s v="Legal"/>
    <n v="200000"/>
    <n v="345.03817847444822"/>
    <n v="579.64599999999996"/>
    <s v="BCI"/>
    <s v="BQ-M-R26"/>
    <s v="PALF"/>
    <x v="2"/>
    <s v="CONGO"/>
    <m/>
    <m/>
    <m/>
  </r>
  <r>
    <x v="73"/>
    <s v="Paiement salaire du mois de Mars 2025/LOUNDOU JeanRomain/3654832"/>
    <s v="Personnel"/>
    <s v="Legal"/>
    <n v="200000"/>
    <n v="345.03817847444822"/>
    <n v="579.64599999999996"/>
    <s v="BCI"/>
    <s v="BQ-M-R27"/>
    <s v="PALF"/>
    <x v="2"/>
    <s v="CONGO"/>
    <m/>
    <m/>
    <m/>
  </r>
  <r>
    <x v="73"/>
    <s v="Paiement salaire du mois de Mars 2025/Crepin IBOUILI-IBOUILI"/>
    <s v="Personnel"/>
    <s v="Legal"/>
    <n v="551482"/>
    <n v="951.41172370722825"/>
    <n v="579.64599999999996"/>
    <s v="BCI"/>
    <s v="BQ-M-R28"/>
    <s v="PALF"/>
    <x v="2"/>
    <s v="CONGO"/>
    <m/>
    <m/>
    <m/>
  </r>
  <r>
    <x v="73"/>
    <s v="Paiement salaire du mois de Mars 2025/Evariste LELOUSSI"/>
    <s v="Personnel"/>
    <s v="Media"/>
    <n v="238140"/>
    <n v="410.83695910952548"/>
    <n v="579.64599999999996"/>
    <s v="BCI"/>
    <s v="BQ-M-R29"/>
    <s v="PALF"/>
    <x v="2"/>
    <s v="CONGO"/>
    <m/>
    <m/>
    <m/>
  </r>
  <r>
    <x v="73"/>
    <s v="Paiement salaire du mois de Mars 2025/PINDI BINGA Donald- Roméo"/>
    <s v="Personnel"/>
    <s v="Legal"/>
    <n v="193548"/>
    <n v="333.9072468368625"/>
    <n v="579.64599999999996"/>
    <s v="BCI"/>
    <s v="BQ-M-R30"/>
    <s v="PALF"/>
    <x v="2"/>
    <s v="CONGO"/>
    <m/>
    <m/>
    <m/>
  </r>
  <r>
    <x v="74"/>
    <s v="Reglement prestation de nettoyage jardin PALF du mois de Février 2025"/>
    <s v="Services"/>
    <s v="Office"/>
    <n v="20000"/>
    <n v="34.503817847444822"/>
    <n v="579.64599999999996"/>
    <s v="Parfaite"/>
    <s v="CA-M-R50"/>
    <s v="PALF"/>
    <x v="2"/>
    <s v="CONGO"/>
    <m/>
    <m/>
    <m/>
  </r>
  <r>
    <x v="74"/>
    <s v="IT87 - CONGO Frais d'hôtel  du 21 au 26/03/2025 à Mouyondzi (05 nuitées)"/>
    <s v="Travel Subsistence"/>
    <s v="Investigation"/>
    <n v="75000"/>
    <n v="129.38931692791809"/>
    <n v="579.64599999999996"/>
    <s v="IT87"/>
    <s v="IT87-M-R7"/>
    <s v="PALF"/>
    <x v="2"/>
    <s v="CONGO"/>
    <m/>
    <m/>
    <m/>
  </r>
  <r>
    <x v="74"/>
    <s v="Achat billet Mouyondzi - Bouansa/ IT87"/>
    <s v="Transport"/>
    <s v="Investigation"/>
    <n v="3000"/>
    <n v="5.1755726771167234"/>
    <n v="579.64599999999996"/>
    <s v="IT87"/>
    <s v="IT87-M-R8"/>
    <s v="PALF"/>
    <x v="3"/>
    <s v="CONGO"/>
    <m/>
    <m/>
    <m/>
  </r>
  <r>
    <x v="74"/>
    <s v="EVARISTE - CONGO Frais de l'hôtel du 17 au 26 mars 2025 à Dolisie (09 Nuitées)"/>
    <s v="Travel Subsistence"/>
    <s v="Operation"/>
    <n v="135000"/>
    <n v="232.90077047025255"/>
    <n v="579.64599999999996"/>
    <s v="Evariste"/>
    <s v="EV-M-R3"/>
    <s v="PALF"/>
    <x v="3"/>
    <s v="CONGO"/>
    <m/>
    <m/>
    <m/>
  </r>
  <r>
    <x v="74"/>
    <s v="Achat Billet  Dolisie-Brazzaville/Evariste"/>
    <s v="Transport"/>
    <s v="Operation"/>
    <n v="10000"/>
    <n v="17.251908923722411"/>
    <n v="579.64599999999996"/>
    <s v="Evariste"/>
    <s v="EV-M-R4"/>
    <s v="PALF"/>
    <x v="3"/>
    <s v="CONGO"/>
    <m/>
    <m/>
    <m/>
  </r>
  <r>
    <x v="74"/>
    <s v="Bonus media portant sur l'interpellation de 2 Présumés trafiquants le 22/03/205 à Dolisie"/>
    <s v="Bonus to media office"/>
    <s v="Media"/>
    <n v="200000"/>
    <n v="345.03817847444822"/>
    <n v="579.64599999999996"/>
    <s v="Evariste"/>
    <s v="CA-M-D14"/>
    <s v="PALF"/>
    <x v="2"/>
    <s v="CONGO"/>
    <m/>
    <m/>
    <m/>
  </r>
  <r>
    <x v="74"/>
    <s v="Frais de virement salaire du mois de Mars 2025"/>
    <s v="Bank fees"/>
    <s v="Office"/>
    <n v="52635"/>
    <n v="90.805422620012905"/>
    <n v="579.64599999999996"/>
    <s v="BCI"/>
    <s v="BQ-M-R32"/>
    <s v="PALF"/>
    <x v="3"/>
    <s v="CONGO"/>
    <m/>
    <m/>
    <m/>
  </r>
  <r>
    <x v="75"/>
    <s v="T73 - CONGO Frais d'hotel du 25 au 27/03/20225 (02 nuitées) à Banda"/>
    <s v="Travel Subsistence"/>
    <s v="Investigation"/>
    <n v="30000"/>
    <n v="51.755726771167232"/>
    <n v="579.64599999999996"/>
    <s v="T73"/>
    <s v="T73-M-R17"/>
    <s v="PALF"/>
    <x v="3"/>
    <s v="CONGO"/>
    <m/>
    <m/>
    <m/>
  </r>
  <r>
    <x v="75"/>
    <s v="achat billet/T73 : Banda - Loudima/T73"/>
    <s v="Transport"/>
    <s v="Investigation"/>
    <n v="15000"/>
    <n v="25.877863385583616"/>
    <n v="579.64599999999996"/>
    <s v="T73"/>
    <s v="T73-M-R18"/>
    <s v="PALF"/>
    <x v="3"/>
    <s v="CONGO"/>
    <m/>
    <m/>
    <m/>
  </r>
  <r>
    <x v="75"/>
    <s v="Cumul frais de trust building du mois de Mars 2025/T73"/>
    <s v="Trust Building"/>
    <s v="Investigation"/>
    <n v="18000"/>
    <n v="31.053436062700339"/>
    <n v="579.64599999999996"/>
    <s v="T73"/>
    <s v="T73-M-D3"/>
    <s v="PALF"/>
    <x v="3"/>
    <s v="CONGO"/>
    <m/>
    <m/>
    <m/>
  </r>
  <r>
    <x v="75"/>
    <s v="Achat du Billet Dolisie-Sibiti/Romain"/>
    <s v="Transport"/>
    <s v="Légal"/>
    <n v="8000"/>
    <n v="13.80152713897793"/>
    <n v="579.64599999999996"/>
    <s v="Romain"/>
    <s v="RM-M-R4"/>
    <s v="PALF"/>
    <x v="3"/>
    <s v="CONGO"/>
    <m/>
    <m/>
    <m/>
  </r>
  <r>
    <x v="75"/>
    <s v="Frais d'impression de la procédure de la gendarmerie"/>
    <s v="Office Materials"/>
    <s v="Operation"/>
    <n v="28400"/>
    <n v="48.995421343371646"/>
    <n v="579.64599999999996"/>
    <s v="Donald-Romeo"/>
    <s v="DR-M-R4"/>
    <s v="PALF"/>
    <x v="3"/>
    <s v="CONGO"/>
    <m/>
    <m/>
    <m/>
  </r>
  <r>
    <x v="76"/>
    <s v="ramassage Ordure du mois de Mars 2025/Bureau PALF"/>
    <s v="Services"/>
    <s v="Office"/>
    <n v="8000"/>
    <n v="13.80152713897793"/>
    <n v="579.64599999999996"/>
    <s v="Parfaite"/>
    <s v="CA-M-R51"/>
    <s v="PALF"/>
    <x v="3"/>
    <s v="CONGO"/>
    <m/>
    <m/>
    <m/>
  </r>
  <r>
    <x v="76"/>
    <s v="Reglement prestation de nettoyage Bureau PALF du mois de Mars 2025"/>
    <s v="Services"/>
    <s v="Office"/>
    <n v="75625"/>
    <n v="130.46756123565072"/>
    <n v="579.64599999999996"/>
    <s v="Parfaite"/>
    <s v="CA-M-R53"/>
    <s v="PALF"/>
    <x v="3"/>
    <s v="CONGO"/>
    <m/>
    <m/>
    <m/>
  </r>
  <r>
    <x v="76"/>
    <s v="T73 - CONGO Frais d'hotel du 24 au 25/03/2025 (01nuitées) à Loudima"/>
    <s v="Travel Subsistence"/>
    <s v="Investigation"/>
    <n v="15000"/>
    <n v="25.877863385583616"/>
    <n v="579.64599999999996"/>
    <s v="T73"/>
    <s v="T73-M-R19"/>
    <s v="PALF"/>
    <x v="3"/>
    <s v="CONGO"/>
    <m/>
    <m/>
    <m/>
  </r>
  <r>
    <x v="76"/>
    <s v="achat billet Loudima - Brazzaville/T73"/>
    <s v="Transport"/>
    <s v="Investigation"/>
    <n v="7000"/>
    <n v="12.076336246605688"/>
    <n v="579.64599999999996"/>
    <s v="T73"/>
    <s v="T73-M-R20"/>
    <s v="PALF"/>
    <x v="2"/>
    <s v="CONGO"/>
    <m/>
    <m/>
    <m/>
  </r>
  <r>
    <x v="76"/>
    <s v="IT87 - CONGO Frais d'hôtel du 26 au 28/03/2025 à Bouansa (02 nuitées)"/>
    <s v="Travel Subsistence"/>
    <s v="Investigation"/>
    <n v="30000"/>
    <n v="51.755726771167232"/>
    <n v="579.64599999999996"/>
    <s v="IT87"/>
    <s v="IT87-M-R9"/>
    <s v="PALF"/>
    <x v="2"/>
    <s v="CONGO"/>
    <m/>
    <m/>
    <m/>
  </r>
  <r>
    <x v="76"/>
    <s v="Achat billet Bouansa - Brazzaville/ IT87"/>
    <s v="Transport"/>
    <s v="Investigation"/>
    <n v="7000"/>
    <n v="12.076336246605688"/>
    <n v="579.64599999999996"/>
    <s v="IT87"/>
    <s v="IT87-M-R10"/>
    <s v="PALF"/>
    <x v="2"/>
    <s v="CONGO"/>
    <m/>
    <m/>
    <m/>
  </r>
  <r>
    <x v="76"/>
    <s v="Cumul frais de Jails visists du mois de Mars 2025/Romain"/>
    <s v="Jail visit"/>
    <s v="Légal"/>
    <n v="41500"/>
    <n v="71.595422033448003"/>
    <n v="579.64599999999996"/>
    <s v="Romain"/>
    <s v="RM-M-D3"/>
    <s v="PALF"/>
    <x v="2"/>
    <s v="CONGO"/>
    <m/>
    <m/>
    <m/>
  </r>
  <r>
    <x v="76"/>
    <s v="Cumul frais de transport local du mois de Mars 2025/Abraham"/>
    <s v="Transport"/>
    <s v="Legal"/>
    <n v="35500"/>
    <n v="61.244276679214558"/>
    <n v="579.64599999999996"/>
    <s v="Abraham"/>
    <s v="AB-M-D3"/>
    <s v="PALF"/>
    <x v="2"/>
    <s v="CONGO"/>
    <m/>
    <m/>
    <m/>
  </r>
  <r>
    <x v="76"/>
    <s v="Frais de transfert d'argent  à crepin et Donald-Roméo"/>
    <s v="Transfer fees"/>
    <s v="Office"/>
    <n v="8825"/>
    <n v="15.224809625185028"/>
    <n v="579.64599999999996"/>
    <s v="Abraham"/>
    <s v="CA-M-R52"/>
    <s v="PALF"/>
    <x v="2"/>
    <s v="CONGO"/>
    <m/>
    <m/>
    <m/>
  </r>
  <r>
    <x v="76"/>
    <s v="Cumul frais de Jails visits du mois de Mars 2025/Donald-Romeo"/>
    <s v="Jail visit"/>
    <s v="Legal"/>
    <n v="4000"/>
    <n v="6.9007635694889649"/>
    <n v="579.64599999999996"/>
    <s v="Donald-Romeo"/>
    <s v="DR-M-D2"/>
    <s v="PALF"/>
    <x v="2"/>
    <s v="CONGO"/>
    <m/>
    <m/>
    <m/>
  </r>
  <r>
    <x v="76"/>
    <s v="Cumul frais de transport local du mois de Mars  2025 /Evariste "/>
    <s v="Transport"/>
    <s v="Media"/>
    <n v="43650"/>
    <n v="75.304582452048322"/>
    <n v="579.64599999999996"/>
    <s v="Evariste"/>
    <s v="EV-M-D2"/>
    <s v="PALF"/>
    <x v="2"/>
    <s v="CONGO"/>
    <m/>
    <m/>
    <m/>
  </r>
  <r>
    <x v="76"/>
    <s v="Bonus media portant sur l'interpellation de 2 Présumés trafiquants le 22/03/205 à Dolisie"/>
    <s v="Bonus to media office"/>
    <s v="Media"/>
    <n v="154000"/>
    <n v="265.67939742532513"/>
    <n v="579.64599999999996"/>
    <s v="Evariste"/>
    <s v="CA-M-D15"/>
    <s v="PALF"/>
    <x v="2"/>
    <s v="CONGO"/>
    <m/>
    <m/>
    <m/>
  </r>
  <r>
    <x v="76"/>
    <s v="Reglement honoraire du mois de Mars 2025/P29/3654837"/>
    <s v="Personnel"/>
    <s v="Investigation"/>
    <n v="500000"/>
    <n v="862.59544618612051"/>
    <n v="579.64599999999996"/>
    <s v="BCI"/>
    <s v="BQ-M-R33"/>
    <s v="PALF"/>
    <x v="2"/>
    <s v="CONGO"/>
    <m/>
    <m/>
    <m/>
  </r>
  <r>
    <x v="76"/>
    <s v="Reglement honoraire du mois de Mars 2025/G12/3654833"/>
    <s v="Personnel"/>
    <s v="Investigation"/>
    <n v="375000"/>
    <n v="646.94658463959047"/>
    <n v="579.64599999999996"/>
    <s v="BCI"/>
    <s v="BQ-M-R34"/>
    <s v="PALF"/>
    <x v="2"/>
    <s v="CONGO"/>
    <m/>
    <m/>
    <m/>
  </r>
  <r>
    <x v="77"/>
    <s v="Bonus pour 12 Policiers ayant effectué le transferèment de Moussa Grâce de Mossendjo à Dolisie"/>
    <s v="Bonus"/>
    <s v="Opération"/>
    <n v="120000"/>
    <n v="207.02290708466893"/>
    <n v="579.64599999999996"/>
    <s v="Crépin"/>
    <s v="CR-M-R9"/>
    <s v="PALF"/>
    <x v="2"/>
    <s v="CONGO"/>
    <m/>
    <m/>
    <m/>
  </r>
  <r>
    <x v="77"/>
    <s v="Ration pour 12 policiers moyennant 5000 par policier ayant effectué le transferèment de Mossendjo à Dolisie"/>
    <s v="Travel Subsistence"/>
    <s v="Opération"/>
    <n v="60000"/>
    <n v="103.51145354233446"/>
    <n v="579.64599999999996"/>
    <s v="Crépin"/>
    <s v="CR-M-R10"/>
    <s v="PALF"/>
    <x v="2"/>
    <s v="CONGO"/>
    <m/>
    <m/>
    <m/>
  </r>
  <r>
    <x v="77"/>
    <s v="Carburant aller de la BJ Mossendjo-Dolisie pour le transferèment"/>
    <s v="Transport"/>
    <s v="Opération"/>
    <n v="46875"/>
    <n v="80.868323079948809"/>
    <n v="579.64599999999996"/>
    <s v="Crépin"/>
    <s v="CR-M-R11"/>
    <s v="PALF"/>
    <x v="2"/>
    <s v="CONGO"/>
    <m/>
    <m/>
    <m/>
  </r>
  <r>
    <x v="77"/>
    <s v="Carburant retour de la BJ Dolisie-Mossendjo apès le transferèment"/>
    <s v="Transport"/>
    <s v="Opération"/>
    <n v="46875"/>
    <n v="80.868323079948809"/>
    <n v="579.64599999999996"/>
    <s v="Crépin"/>
    <s v="CR-M-R12"/>
    <s v="PALF"/>
    <x v="2"/>
    <s v="CONGO"/>
    <m/>
    <m/>
    <m/>
  </r>
  <r>
    <x v="77"/>
    <s v="Cumul frais de transport local du mois de Mars 2025/CREPIN"/>
    <s v="Transport"/>
    <s v="Légal"/>
    <n v="40000"/>
    <n v="69.007635694889643"/>
    <n v="579.64599999999996"/>
    <s v="Crépin"/>
    <s v="CR-M-D3"/>
    <s v="PALF"/>
    <x v="2"/>
    <s v="CONGO"/>
    <m/>
    <m/>
    <m/>
  </r>
  <r>
    <x v="77"/>
    <s v="Cumul frais de transport local du mois de Mars 2025/T73"/>
    <s v="Transport"/>
    <s v="Investigation"/>
    <n v="83200"/>
    <n v="143.53588224537046"/>
    <n v="579.64599999999996"/>
    <s v="T73"/>
    <s v="T73-M-D4"/>
    <s v="PALF"/>
    <x v="2"/>
    <s v="CONGO"/>
    <m/>
    <m/>
    <m/>
  </r>
  <r>
    <x v="75"/>
    <s v="ROMAIN - CONGO Frais d'hotel du 17/03/ au 27/03/2025 à Dolisie (10 nuitées)"/>
    <s v="Travel Subsistence"/>
    <s v="Légal"/>
    <n v="150000"/>
    <n v="258.77863385583618"/>
    <n v="579.64599999999996"/>
    <s v="Romain"/>
    <s v="RM-M-R5"/>
    <s v="PALF"/>
    <x v="2"/>
    <s v="CONGO"/>
    <m/>
    <m/>
    <m/>
  </r>
  <r>
    <x v="77"/>
    <s v="ROMAIN - CONGO Frais d'hotel du 27/03/ au 29/03/2025 à Sibiti(02 nuitées)"/>
    <s v="Travel Subsistence"/>
    <s v="Légal"/>
    <n v="30000"/>
    <n v="51.755726771167232"/>
    <n v="579.64599999999996"/>
    <s v="Romain"/>
    <s v="RM-M-R6"/>
    <s v="PALF"/>
    <x v="2"/>
    <s v="CONGO"/>
    <m/>
    <m/>
    <m/>
  </r>
  <r>
    <x v="77"/>
    <s v="Billet SIBITI- Nkayi/Romain "/>
    <s v="Transport"/>
    <s v="Légal"/>
    <n v="6000"/>
    <n v="10.351145354233447"/>
    <n v="579.64599999999996"/>
    <s v="Romain"/>
    <s v="RM-M-R7"/>
    <s v="PALF"/>
    <x v="2"/>
    <s v="CONGO"/>
    <m/>
    <m/>
    <m/>
  </r>
  <r>
    <x v="77"/>
    <s v="Billet Nkayi-Brazzaville/Romain"/>
    <s v="Transport"/>
    <s v="Légal"/>
    <n v="7000"/>
    <n v="12.076336246605688"/>
    <n v="579.64599999999996"/>
    <s v="Romain"/>
    <s v="RM-M-R8"/>
    <s v="PALF"/>
    <x v="2"/>
    <s v="CONGO"/>
    <m/>
    <m/>
    <m/>
  </r>
  <r>
    <x v="77"/>
    <s v="Cumul frais de transport local du mois de Mars 2025/Romain "/>
    <s v="Transport"/>
    <s v="Légal"/>
    <n v="49400"/>
    <n v="85.224430083188707"/>
    <n v="579.64599999999996"/>
    <s v="Romain"/>
    <s v="RM-M-D4"/>
    <s v="PALF"/>
    <x v="2"/>
    <s v="CONGO"/>
    <m/>
    <m/>
    <m/>
  </r>
  <r>
    <x v="78"/>
    <s v="Cumul frais de transport local du mois de Mars 2025/DOVI"/>
    <s v="Transport"/>
    <s v="Management"/>
    <n v="61000"/>
    <n v="105.2366444347067"/>
    <n v="579.64599999999996"/>
    <s v="DOVI"/>
    <s v="DH-M-D1"/>
    <s v="PALF"/>
    <x v="2"/>
    <s v="CONGO"/>
    <m/>
    <m/>
    <m/>
  </r>
  <r>
    <x v="78"/>
    <s v="Cumul frais de transfert local du mois de Mars 2025/Parfaite"/>
    <s v="Transport"/>
    <s v="Office"/>
    <n v="35500"/>
    <n v="61.244276679214558"/>
    <n v="579.64599999999996"/>
    <s v="Parfaite"/>
    <s v="P-M-D1"/>
    <s v="PALF"/>
    <x v="2"/>
    <s v="CONGO"/>
    <m/>
    <m/>
    <m/>
  </r>
  <r>
    <x v="78"/>
    <s v="Reglement facture internet periode du 01/04 au 30/04/2025 bureau PALF"/>
    <s v="Internet"/>
    <s v="Office"/>
    <n v="45050"/>
    <n v="77.719849701369469"/>
    <n v="579.64599999999996"/>
    <s v="Parfaite"/>
    <s v="CA-M-R54"/>
    <s v="PALF"/>
    <x v="2"/>
    <s v="CONGO"/>
    <m/>
    <m/>
    <m/>
  </r>
  <r>
    <x v="78"/>
    <s v="Cumul frais de trust building du mois de Mars 2025/IT87"/>
    <s v="Trust Building"/>
    <s v="Investigation"/>
    <n v="30100"/>
    <n v="51.928245860404459"/>
    <n v="579.64599999999996"/>
    <s v="IT87"/>
    <s v="IT87-M-D3"/>
    <s v="PALF"/>
    <x v="2"/>
    <s v="CONGO"/>
    <m/>
    <m/>
    <m/>
  </r>
  <r>
    <x v="78"/>
    <s v="Cumul frais de transport local du mois de Mars 2025/IT87"/>
    <s v="Transport"/>
    <s v="Investigation"/>
    <n v="89800"/>
    <n v="154.92214213502726"/>
    <n v="579.64599999999996"/>
    <s v="IT87"/>
    <s v="IT87-M-D4"/>
    <s v="PALF"/>
    <x v="2"/>
    <s v="CONGO"/>
    <m/>
    <m/>
    <m/>
  </r>
  <r>
    <x v="78"/>
    <s v="Cumul transport local du mois de Mars 2025/G12"/>
    <s v="Transport"/>
    <s v="Investigation"/>
    <n v="50500"/>
    <n v="87.122140064798174"/>
    <n v="579.64599999999996"/>
    <s v="G12"/>
    <s v="G12-M-D3"/>
    <s v="PALF"/>
    <x v="2"/>
    <s v="CONGO"/>
    <m/>
    <m/>
    <m/>
  </r>
  <r>
    <x v="78"/>
    <s v="Cumul frais de transport local du mois de Mars 2025/Roderlin "/>
    <s v="Transport"/>
    <s v="Legal"/>
    <n v="53000"/>
    <n v="91.435117295728773"/>
    <n v="579.64599999999996"/>
    <s v="Roderlin"/>
    <s v="RO-M-D2"/>
    <s v="PALF"/>
    <x v="2"/>
    <s v="CONGO"/>
    <m/>
    <m/>
    <m/>
  </r>
  <r>
    <x v="78"/>
    <s v="Frais de transfert d'argent à Crepin, Me Alain et Donald-Romeo"/>
    <s v="Transfer fees"/>
    <s v="Office"/>
    <n v="16890"/>
    <n v="29.138474172167154"/>
    <n v="579.64599999999996"/>
    <s v="Roderlin"/>
    <s v="CA-M-R55"/>
    <s v="PALF"/>
    <x v="2"/>
    <s v="CONGO"/>
    <m/>
    <m/>
    <m/>
  </r>
  <r>
    <x v="78"/>
    <s v="Cumul frais de transport local du mois de Mars 2025/Donald-Romeo"/>
    <s v="Transport "/>
    <s v="Legal"/>
    <n v="33000"/>
    <n v="56.931299448283958"/>
    <n v="579.64599999999996"/>
    <s v="Donald-Romeo"/>
    <s v="DR-M-D3"/>
    <s v="PALF"/>
    <x v="2"/>
    <s v="CONGO"/>
    <m/>
    <m/>
    <m/>
  </r>
  <r>
    <x v="78"/>
    <s v="Reglement honoraire du mois de Mars 2025/T73/3654829"/>
    <s v="Personnel"/>
    <s v="Investigation"/>
    <n v="255000"/>
    <n v="439.92367755492148"/>
    <n v="579.64599999999996"/>
    <s v="BCI"/>
    <s v="BQ-M-R35"/>
    <s v="PALF"/>
    <x v="2"/>
    <s v="CONGO"/>
    <m/>
    <m/>
    <m/>
  </r>
  <r>
    <x v="78"/>
    <s v="Reglement honoraire du mois de Mars 2025/IT87/3654827"/>
    <s v="Personnel"/>
    <s v="Investigation"/>
    <n v="255000"/>
    <n v="439.92367755492148"/>
    <n v="579.64599999999996"/>
    <s v="BCI"/>
    <s v="BQ-M-R36"/>
    <s v="PALF"/>
    <x v="2"/>
    <s v="CONGO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2:C17" firstHeaderRow="1" firstDataRow="1" firstDataCol="1"/>
  <pivotFields count="15">
    <pivotField numFmtId="173" showAll="0"/>
    <pivotField showAll="0"/>
    <pivotField showAll="0"/>
    <pivotField showAll="0"/>
    <pivotField dataField="1" showAll="0"/>
    <pivotField numFmtId="1" showAll="0"/>
    <pivotField showAll="0"/>
    <pivotField axis="axisRow" showAll="0">
      <items count="15">
        <item x="1"/>
        <item x="4"/>
        <item x="0"/>
        <item x="13"/>
        <item x="5"/>
        <item x="9"/>
        <item x="10"/>
        <item x="12"/>
        <item x="2"/>
        <item x="11"/>
        <item x="3"/>
        <item x="8"/>
        <item x="7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me de Spent  in XAF" fld="4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3:Z16" firstHeaderRow="1" firstDataRow="2" firstDataCol="1"/>
  <pivotFields count="15">
    <pivotField numFmtId="173" showAll="0"/>
    <pivotField showAll="0"/>
    <pivotField axis="axisCol" showAll="0">
      <items count="24">
        <item x="9"/>
        <item x="4"/>
        <item x="14"/>
        <item x="3"/>
        <item x="15"/>
        <item x="22"/>
        <item x="17"/>
        <item x="18"/>
        <item x="21"/>
        <item x="19"/>
        <item x="10"/>
        <item x="20"/>
        <item x="6"/>
        <item x="5"/>
        <item x="7"/>
        <item x="8"/>
        <item x="2"/>
        <item x="13"/>
        <item x="1"/>
        <item x="16"/>
        <item x="12"/>
        <item x="0"/>
        <item x="11"/>
        <item t="default"/>
      </items>
    </pivotField>
    <pivotField axis="axisRow" showAll="0">
      <items count="12">
        <item x="3"/>
        <item x="1"/>
        <item x="0"/>
        <item x="2"/>
        <item x="4"/>
        <item x="6"/>
        <item x="5"/>
        <item x="10"/>
        <item x="7"/>
        <item x="9"/>
        <item x="8"/>
        <item t="default"/>
      </items>
    </pivotField>
    <pivotField dataField="1"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2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colItems>
  <dataFields count="1">
    <dataField name="Somme de Spent  in XAF" fld="4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2:D18" firstHeaderRow="0" firstDataRow="1" firstDataCol="1"/>
  <pivotFields count="10">
    <pivotField numFmtId="14" showAll="0"/>
    <pivotField showAll="0"/>
    <pivotField showAll="0"/>
    <pivotField showAll="0"/>
    <pivotField dataField="1" showAll="0"/>
    <pivotField dataField="1" showAll="0"/>
    <pivotField numFmtId="168" showAll="0"/>
    <pivotField axis="axisRow" showAll="0">
      <items count="16">
        <item x="3"/>
        <item x="6"/>
        <item x="10"/>
        <item x="14"/>
        <item x="8"/>
        <item x="7"/>
        <item x="12"/>
        <item x="13"/>
        <item x="1"/>
        <item x="4"/>
        <item x="2"/>
        <item x="9"/>
        <item x="11"/>
        <item x="5"/>
        <item x="0"/>
        <item t="default"/>
      </items>
    </pivotField>
    <pivotField showAll="0"/>
    <pivotField showAll="0"/>
  </pivotFields>
  <rowFields count="1">
    <field x="7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Spent " fld="4" baseField="7" baseItem="0"/>
    <dataField name="Somme de Received" fld="5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Tableau croisé dynamique4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L2:P15" firstHeaderRow="0" firstDataRow="1" firstDataCol="1"/>
  <pivotFields count="16">
    <pivotField numFmtId="173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>
      <items count="7">
        <item m="1" x="5"/>
        <item x="2"/>
        <item x="3"/>
        <item x="1"/>
        <item x="4"/>
        <item x="0"/>
        <item t="default"/>
      </items>
    </pivotField>
    <pivotField showAll="0"/>
    <pivotField dataField="1" showAll="0"/>
    <pivotField dataField="1" showAll="0"/>
    <pivotField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10"/>
    <field x="15"/>
  </rowFields>
  <rowItems count="13">
    <i>
      <x v="1"/>
    </i>
    <i r="1">
      <x v="2"/>
    </i>
    <i r="1">
      <x v="3"/>
    </i>
    <i>
      <x v="2"/>
    </i>
    <i r="1">
      <x v="3"/>
    </i>
    <i>
      <x v="3"/>
    </i>
    <i r="1">
      <x v="2"/>
    </i>
    <i>
      <x v="4"/>
    </i>
    <i r="1">
      <x v="3"/>
    </i>
    <i>
      <x v="5"/>
    </i>
    <i r="1">
      <x v="1"/>
    </i>
    <i r="1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Spent  in XAF" fld="4" baseField="10" baseItem="0"/>
    <dataField name="Somme de Spent in $" fld="5" baseField="10" baseItem="0"/>
    <dataField name="Somme de Receved  $" fld="13" baseField="10" baseItem="0"/>
    <dataField name="Somme de Receved in XAF" fld="12" baseField="1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4-11-19T16:38:26.73" personId="{98584D5A-8469-40CB-92DE-DDEA7199F951}" id="{A12D1BC1-2A0A-4E82-995E-AE42C351895A}">
    <text>Link to the personal balance</text>
  </threadedComment>
  <threadedComment ref="D2" dT="2024-11-19T16:46:00.44" personId="{98584D5A-8469-40CB-92DE-DDEA7199F951}" id="{B9DA9024-4CA0-46CF-BCB7-17B9FFFC34E0}">
    <text>Link to the pivot table „Cash journal“</text>
  </threadedComment>
  <threadedComment ref="E2" dT="2024-11-19T16:46:19.39" personId="{98584D5A-8469-40CB-92DE-DDEA7199F951}" id="{62FAAB4B-6EAF-4972-9E02-C37D118F3FE1}">
    <text>Link to the pivot table „data“</text>
  </threadedComment>
  <threadedComment ref="H2" dT="2024-11-19T16:38:41.72" personId="{98584D5A-8469-40CB-92DE-DDEA7199F951}" id="{CD553CA5-AD13-43FC-A1F7-EF2DE5EF7A94}">
    <text>Link to the personal balance</text>
  </threadedComment>
  <threadedComment ref="I2" dT="2024-11-19T16:38:50.52" personId="{98584D5A-8469-40CB-92DE-DDEA7199F951}" id="{5991BF77-FCF5-4586-9875-1F89E2825A51}">
    <text>formula</text>
  </threadedComment>
  <threadedComment ref="C19" dT="2024-11-19T16:39:21.61" personId="{98584D5A-8469-40CB-92DE-DDEA7199F951}" id="{D10F2EAC-DC88-4867-AF3C-128AC3A279F6}">
    <text>Link to the bank journal</text>
  </threadedComment>
  <threadedComment ref="I19" dT="2024-11-19T16:39:34.22" personId="{98584D5A-8469-40CB-92DE-DDEA7199F951}" id="{E4BF8878-824E-43F9-ABC1-A73CD708EDCD}">
    <text>Link to the bank journal</text>
  </threadedComment>
  <threadedComment ref="C25" dT="2024-11-19T16:39:51.68" personId="{98584D5A-8469-40CB-92DE-DDEA7199F951}" id="{5E3CEF0F-AC62-41D5-A934-AC03EDB0B8D2}">
    <text>Link to the cash journal</text>
  </threadedComment>
  <threadedComment ref="H25" dT="2024-11-19T16:40:03.44" personId="{98584D5A-8469-40CB-92DE-DDEA7199F951}" id="{A6199460-FC62-44E6-AB78-D712E7363C57}">
    <text>Link to the cash journal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6" dT="2024-11-19T17:03:20.17" personId="{98584D5A-8469-40CB-92DE-DDEA7199F951}" id="{C1DF0F66-A833-40DC-8B4A-5A54471ED649}">
    <text>Adjust that according to your country</text>
  </threadedComment>
  <threadedComment ref="F23" dT="2024-11-19T17:02:43.89" personId="{98584D5A-8469-40CB-92DE-DDEA7199F951}" id="{F88D673A-DD35-4DCB-976B-8A96F322437E}">
    <text>Link to the cash journal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workbookViewId="0">
      <selection activeCell="C10" sqref="C10"/>
    </sheetView>
  </sheetViews>
  <sheetFormatPr baseColWidth="10" defaultColWidth="8.796875" defaultRowHeight="13.8"/>
  <cols>
    <col min="1" max="10" width="17.3984375" customWidth="1"/>
  </cols>
  <sheetData>
    <row r="1" spans="1:10" ht="41.4">
      <c r="A1" s="80" t="s">
        <v>10</v>
      </c>
      <c r="B1" s="81" t="s">
        <v>11</v>
      </c>
      <c r="C1" s="81" t="s">
        <v>1492</v>
      </c>
      <c r="D1" s="81" t="s">
        <v>12</v>
      </c>
      <c r="E1" s="82" t="s">
        <v>13</v>
      </c>
      <c r="F1" s="82"/>
      <c r="G1" s="82" t="s">
        <v>551</v>
      </c>
      <c r="H1" s="81" t="s">
        <v>1493</v>
      </c>
      <c r="I1" s="83" t="s">
        <v>14</v>
      </c>
      <c r="J1" s="6" t="s">
        <v>15</v>
      </c>
    </row>
    <row r="2" spans="1:10" ht="14.4">
      <c r="A2" s="222" t="s">
        <v>510</v>
      </c>
      <c r="B2" s="7" t="s">
        <v>122</v>
      </c>
      <c r="C2" s="8">
        <f>+'Personals balance '!H4</f>
        <v>12163</v>
      </c>
      <c r="D2" s="9">
        <f>+GETPIVOTDATA("Somme de Spent ",'Individual received'!$B$2,"Name","DOVI")</f>
        <v>463000</v>
      </c>
      <c r="E2" s="9">
        <f>+GETPIVOTDATA("Spent  in XAF",'Individual costs'!$B$2,"Name","DOVI")</f>
        <v>348642</v>
      </c>
      <c r="F2" s="9"/>
      <c r="G2" s="8">
        <f>+GETPIVOTDATA("Somme de Received",'Individual received'!$B$2,"Name","DOVI")</f>
        <v>130000</v>
      </c>
      <c r="H2" s="10">
        <f>+'Personals balance '!H19</f>
        <v>-3479</v>
      </c>
      <c r="I2" s="11">
        <f>C2+D2-E2+F2-G2</f>
        <v>-3479</v>
      </c>
      <c r="J2" s="12">
        <f>H2-I2</f>
        <v>0</v>
      </c>
    </row>
    <row r="3" spans="1:10" ht="14.4">
      <c r="A3" s="222" t="s">
        <v>209</v>
      </c>
      <c r="B3" s="7" t="s">
        <v>122</v>
      </c>
      <c r="C3" s="8">
        <f>+'Personals balance '!H23</f>
        <v>150370</v>
      </c>
      <c r="D3" s="9">
        <f>+GETPIVOTDATA("Somme de Spent ",'Individual received'!$B$2,"Name","Crepin")</f>
        <v>1384500</v>
      </c>
      <c r="E3" s="9">
        <f>+GETPIVOTDATA("Spent  in XAF",'Individual costs'!$B$2,"Name","Crépin")</f>
        <v>972550</v>
      </c>
      <c r="F3" s="9"/>
      <c r="G3" s="8">
        <f>+GETPIVOTDATA("Somme de Received",'Individual received'!$B$2,"Name","Crepin")</f>
        <v>300000</v>
      </c>
      <c r="H3" s="10">
        <f>+'Personals balance '!H48</f>
        <v>262320</v>
      </c>
      <c r="I3" s="11">
        <f>C3+D3-E3+F3-G3</f>
        <v>262320</v>
      </c>
      <c r="J3" s="12">
        <f t="shared" ref="J3:J16" si="0">H3-I3</f>
        <v>0</v>
      </c>
    </row>
    <row r="4" spans="1:10" ht="14.4">
      <c r="A4" s="222" t="s">
        <v>161</v>
      </c>
      <c r="B4" s="7" t="s">
        <v>121</v>
      </c>
      <c r="C4" s="8">
        <f>+'Personals balance '!H54</f>
        <v>-100</v>
      </c>
      <c r="D4" s="9">
        <f>+GETPIVOTDATA("Somme de Spent ",'Individual received'!$B$2,"Name","Merveille")</f>
        <v>981858</v>
      </c>
      <c r="E4" s="9">
        <f>+GETPIVOTDATA("Spent  in XAF",'Individual costs'!$B$2,"Name","Merveille")</f>
        <v>981758</v>
      </c>
      <c r="F4" s="9"/>
      <c r="G4" s="8">
        <f>+GETPIVOTDATA("Somme de Received",'Individual received'!$B$2,"Name","Merveille")</f>
        <v>0</v>
      </c>
      <c r="H4" s="10">
        <f>+'Personals balance '!H101</f>
        <v>0</v>
      </c>
      <c r="I4" s="11">
        <f t="shared" ref="I4:I10" si="1">C4+D4-E4+F4-G4</f>
        <v>0</v>
      </c>
      <c r="J4" s="12">
        <f t="shared" si="0"/>
        <v>0</v>
      </c>
    </row>
    <row r="5" spans="1:10" ht="14.4">
      <c r="A5" s="222" t="s">
        <v>673</v>
      </c>
      <c r="B5" s="7" t="s">
        <v>121</v>
      </c>
      <c r="C5" s="8">
        <f>+'Personals balance '!H107</f>
        <v>13000</v>
      </c>
      <c r="D5" s="9">
        <f>+GETPIVOTDATA("Somme de Spent ",'Individual received'!$B$2,"Name","Parfaite")</f>
        <v>1034165</v>
      </c>
      <c r="E5" s="9">
        <f>+GETPIVOTDATA("Spent  in XAF",'Individual costs'!$B$2,"Name","Parfaite")</f>
        <v>1049665</v>
      </c>
      <c r="F5" s="9"/>
      <c r="G5" s="8">
        <f>+GETPIVOTDATA("Somme de Received",'Individual received'!$B$2,"Name","Parfaite")</f>
        <v>0</v>
      </c>
      <c r="H5" s="10">
        <f>+'Personals balance '!H158</f>
        <v>-2500</v>
      </c>
      <c r="I5" s="11">
        <f>C5+D5-E5+F5-G5</f>
        <v>-2500</v>
      </c>
      <c r="J5" s="12">
        <f t="shared" si="0"/>
        <v>0</v>
      </c>
    </row>
    <row r="6" spans="1:10" ht="14.4">
      <c r="A6" s="224" t="s">
        <v>511</v>
      </c>
      <c r="B6" s="225" t="s">
        <v>512</v>
      </c>
      <c r="C6" s="249">
        <v>233614</v>
      </c>
      <c r="D6" s="250"/>
      <c r="E6" s="250"/>
      <c r="F6" s="250"/>
      <c r="G6" s="249"/>
      <c r="H6" s="251">
        <v>233614</v>
      </c>
      <c r="I6" s="252">
        <f t="shared" si="1"/>
        <v>233614</v>
      </c>
      <c r="J6" s="12">
        <f t="shared" si="0"/>
        <v>0</v>
      </c>
    </row>
    <row r="7" spans="1:10" ht="14.4">
      <c r="A7" s="224" t="s">
        <v>513</v>
      </c>
      <c r="B7" s="225" t="s">
        <v>512</v>
      </c>
      <c r="C7" s="249">
        <v>249769</v>
      </c>
      <c r="D7" s="250"/>
      <c r="E7" s="250"/>
      <c r="F7" s="250"/>
      <c r="G7" s="249"/>
      <c r="H7" s="251">
        <v>249769</v>
      </c>
      <c r="I7" s="252">
        <f t="shared" si="1"/>
        <v>249769</v>
      </c>
      <c r="J7" s="12">
        <f t="shared" si="0"/>
        <v>0</v>
      </c>
    </row>
    <row r="8" spans="1:10" ht="15">
      <c r="A8" s="223" t="s">
        <v>340</v>
      </c>
      <c r="B8" s="7" t="s">
        <v>512</v>
      </c>
      <c r="C8" s="8">
        <f>+'Personals balance '!H224</f>
        <v>7400</v>
      </c>
      <c r="D8" s="9">
        <f>+GETPIVOTDATA("Somme de Spent ",'Individual received'!$B$2,"Name","IT87")</f>
        <v>628000</v>
      </c>
      <c r="E8" s="9">
        <f>+GETPIVOTDATA("Spent  in XAF",'Individual costs'!$B$2,"Name","IT87")</f>
        <v>511900</v>
      </c>
      <c r="F8" s="9"/>
      <c r="G8" s="8">
        <f>+GETPIVOTDATA("Somme de Received",'Individual received'!$B$2,"Name","IT87")</f>
        <v>0</v>
      </c>
      <c r="H8" s="10">
        <f>+'Personals balance '!H245</f>
        <v>123500</v>
      </c>
      <c r="I8" s="11">
        <f t="shared" si="1"/>
        <v>123500</v>
      </c>
      <c r="J8" s="12">
        <f t="shared" si="0"/>
        <v>0</v>
      </c>
    </row>
    <row r="9" spans="1:10" ht="14.4">
      <c r="A9" s="222" t="s">
        <v>192</v>
      </c>
      <c r="B9" s="7" t="s">
        <v>512</v>
      </c>
      <c r="C9" s="8">
        <f>+'Personals balance '!H164</f>
        <v>54810</v>
      </c>
      <c r="D9" s="9">
        <f>+GETPIVOTDATA("Somme de Spent ",'Individual received'!$B$2,"Name","P29")</f>
        <v>1042000</v>
      </c>
      <c r="E9" s="9">
        <f>+GETPIVOTDATA("Spent  in XAF",'Individual costs'!$B$2,"Name","P29")</f>
        <v>815100</v>
      </c>
      <c r="F9" s="9"/>
      <c r="G9" s="8">
        <f>+GETPIVOTDATA("Somme de Received",'Individual received'!$B$2,"Name","P29")</f>
        <v>235000</v>
      </c>
      <c r="H9" s="10">
        <f>+'Personals balance '!H184</f>
        <v>46710</v>
      </c>
      <c r="I9" s="11">
        <f t="shared" si="1"/>
        <v>46710</v>
      </c>
      <c r="J9" s="12">
        <f t="shared" si="0"/>
        <v>0</v>
      </c>
    </row>
    <row r="10" spans="1:10" ht="14.4">
      <c r="A10" s="222" t="s">
        <v>181</v>
      </c>
      <c r="B10" s="7" t="s">
        <v>512</v>
      </c>
      <c r="C10" s="8">
        <f>+'Personals balance '!H188</f>
        <v>140050</v>
      </c>
      <c r="D10" s="9">
        <f>+GETPIVOTDATA("Somme de Spent ",'Individual received'!$B$2,"Name","T73")</f>
        <v>577000</v>
      </c>
      <c r="E10" s="9">
        <f>+GETPIVOTDATA("Spent  in XAF",'Individual costs'!$B$2,"Name","T73")</f>
        <v>601200</v>
      </c>
      <c r="F10" s="9"/>
      <c r="G10" s="8">
        <f>+GETPIVOTDATA("Somme de Received",'Individual received'!$B$2,"Name","T73")</f>
        <v>30000</v>
      </c>
      <c r="H10" s="10">
        <f>+'Personals balance '!H219</f>
        <v>85850</v>
      </c>
      <c r="I10" s="11">
        <f t="shared" si="1"/>
        <v>85850</v>
      </c>
      <c r="J10" s="12">
        <f t="shared" si="0"/>
        <v>0</v>
      </c>
    </row>
    <row r="11" spans="1:10" ht="14.4">
      <c r="A11" s="77" t="s">
        <v>351</v>
      </c>
      <c r="B11" s="7" t="s">
        <v>512</v>
      </c>
      <c r="C11" s="8">
        <f>+'Personals balance '!H250</f>
        <v>19050</v>
      </c>
      <c r="D11" s="9">
        <f>+GETPIVOTDATA("Somme de Spent ",'Individual received'!$B$2,"Name","G12")</f>
        <v>581140</v>
      </c>
      <c r="E11" s="9">
        <f>+GETPIVOTDATA("Spent  in XAF",'Individual costs'!$B$2,"Name","G12")</f>
        <v>533640</v>
      </c>
      <c r="F11" s="9"/>
      <c r="G11" s="8">
        <f>+GETPIVOTDATA("Somme de Received",'Individual received'!$B$2,"Name","G12")</f>
        <v>0</v>
      </c>
      <c r="H11" s="10">
        <f>+'Personals balance '!H271</f>
        <v>66550</v>
      </c>
      <c r="I11" s="11">
        <f t="shared" ref="I11:I16" si="2">C11+D11-E11+F11-G11</f>
        <v>66550</v>
      </c>
      <c r="J11" s="12">
        <f t="shared" si="0"/>
        <v>0</v>
      </c>
    </row>
    <row r="12" spans="1:10" ht="14.4">
      <c r="A12" s="222" t="s">
        <v>195</v>
      </c>
      <c r="B12" s="7" t="s">
        <v>120</v>
      </c>
      <c r="C12" s="13">
        <f>+'Personals balance '!H274</f>
        <v>123047</v>
      </c>
      <c r="D12" s="13">
        <f>+GETPIVOTDATA("Somme de Spent ",'Individual received'!$B$2,"Name","Romain")</f>
        <v>480000</v>
      </c>
      <c r="E12" s="14">
        <f>+GETPIVOTDATA("Spent  in XAF",'Individual costs'!$B$2,"Name","Romain")</f>
        <v>636500</v>
      </c>
      <c r="F12" s="77"/>
      <c r="G12" s="77">
        <f>+GETPIVOTDATA("Somme de Received",'Individual received'!$B$2,"Name","Romain")</f>
        <v>0</v>
      </c>
      <c r="H12" s="13">
        <f>+'Personals balance '!H293</f>
        <v>-33453</v>
      </c>
      <c r="I12" s="11">
        <f t="shared" si="2"/>
        <v>-33453</v>
      </c>
      <c r="J12" s="12">
        <f t="shared" si="0"/>
        <v>0</v>
      </c>
    </row>
    <row r="13" spans="1:10" ht="14.4">
      <c r="A13" s="222" t="s">
        <v>505</v>
      </c>
      <c r="B13" s="7" t="s">
        <v>120</v>
      </c>
      <c r="C13" s="13">
        <f>+'Personals balance '!H366</f>
        <v>8130</v>
      </c>
      <c r="D13" s="13">
        <f>+GETPIVOTDATA("Somme de Spent ",'Individual received'!$B$2,"Name","Donal Roméo")</f>
        <v>602000</v>
      </c>
      <c r="E13" s="14">
        <f>+GETPIVOTDATA("Spent  in XAF",'Individual costs'!$B$2,"Name","Donald-Romeo")</f>
        <v>309600</v>
      </c>
      <c r="F13" s="77"/>
      <c r="G13" s="208">
        <f>+GETPIVOTDATA("Somme de Received",'Individual received'!$B$2,"Name","Donal Roméo")</f>
        <v>0</v>
      </c>
      <c r="H13" s="209">
        <f>+'Personals balance '!H380</f>
        <v>300530</v>
      </c>
      <c r="I13" s="11">
        <f t="shared" si="2"/>
        <v>300530</v>
      </c>
      <c r="J13" s="12">
        <f t="shared" si="0"/>
        <v>0</v>
      </c>
    </row>
    <row r="14" spans="1:10" ht="14.4">
      <c r="A14" s="222" t="s">
        <v>198</v>
      </c>
      <c r="B14" s="7" t="s">
        <v>120</v>
      </c>
      <c r="C14" s="13">
        <f>+'Personals balance '!H300</f>
        <v>128800</v>
      </c>
      <c r="D14" s="13">
        <f>+GETPIVOTDATA("Somme de Spent ",'Individual received'!$B$2,"Name","Abraham")</f>
        <v>402325</v>
      </c>
      <c r="E14" s="14">
        <f>+GETPIVOTDATA("Spent  in XAF",'Individual costs'!$B$2,"Name","Abraham")</f>
        <v>516725</v>
      </c>
      <c r="F14" s="77"/>
      <c r="G14" s="208">
        <f>+GETPIVOTDATA("Somme de Received",'Individual received'!$B$2,"Name","Abraham")</f>
        <v>0</v>
      </c>
      <c r="H14" s="209">
        <f>+'Personals balance '!H320</f>
        <v>14400</v>
      </c>
      <c r="I14" s="11">
        <f t="shared" si="2"/>
        <v>14400</v>
      </c>
      <c r="J14" s="12">
        <f t="shared" si="0"/>
        <v>0</v>
      </c>
    </row>
    <row r="15" spans="1:10" ht="14.4">
      <c r="A15" s="222" t="s">
        <v>201</v>
      </c>
      <c r="B15" s="7" t="s">
        <v>120</v>
      </c>
      <c r="C15" s="13">
        <f>+'Personals balance '!H326</f>
        <v>10600</v>
      </c>
      <c r="D15" s="13">
        <f>+GETPIVOTDATA("Somme de Spent ",'Individual received'!$B$2,"Name","Roderlin")</f>
        <v>849806</v>
      </c>
      <c r="E15" s="14">
        <f>+GETPIVOTDATA("Spent  in XAF",'Individual costs'!$B$2,"Name","Roderlin")</f>
        <v>833806</v>
      </c>
      <c r="F15" s="77"/>
      <c r="G15" s="208">
        <f>+GETPIVOTDATA("Somme de Received",'Individual received'!$B$2,"Name","Roderlin")</f>
        <v>0</v>
      </c>
      <c r="H15" s="209">
        <f>+'Personals balance '!H362</f>
        <v>26600</v>
      </c>
      <c r="I15" s="11">
        <f t="shared" si="2"/>
        <v>26600</v>
      </c>
      <c r="J15" s="12">
        <f t="shared" si="0"/>
        <v>0</v>
      </c>
    </row>
    <row r="16" spans="1:10" ht="14.4">
      <c r="A16" s="222" t="s">
        <v>223</v>
      </c>
      <c r="B16" s="7" t="s">
        <v>123</v>
      </c>
      <c r="C16" s="13">
        <f>+'Personals balance '!H384</f>
        <v>5700</v>
      </c>
      <c r="D16" s="13">
        <f>+GETPIVOTDATA("Somme de Spent ",'Individual received'!$B$2,"Name","Evariste")</f>
        <v>805000</v>
      </c>
      <c r="E16" s="14">
        <f>+GETPIVOTDATA("Spent  in XAF",'Individual costs'!$B$2,"Name","Evariste")</f>
        <v>800250</v>
      </c>
      <c r="F16" s="77"/>
      <c r="G16" s="208">
        <f>+GETPIVOTDATA("Somme de Received",'Individual received'!$B$2,"Name","Evariste")</f>
        <v>0</v>
      </c>
      <c r="H16" s="209">
        <f>+'Personals balance '!H403</f>
        <v>10450</v>
      </c>
      <c r="I16" s="11">
        <f t="shared" si="2"/>
        <v>10450</v>
      </c>
      <c r="J16" s="12">
        <f t="shared" si="0"/>
        <v>0</v>
      </c>
    </row>
    <row r="17" spans="1:10" ht="14.4">
      <c r="A17" s="15" t="s">
        <v>18</v>
      </c>
      <c r="B17" s="16"/>
      <c r="C17" s="17">
        <f t="shared" ref="C17:I17" si="3">SUM(C2:C16)</f>
        <v>1156403</v>
      </c>
      <c r="D17" s="17">
        <f t="shared" si="3"/>
        <v>9830794</v>
      </c>
      <c r="E17" s="17">
        <f t="shared" si="3"/>
        <v>8911336</v>
      </c>
      <c r="F17" s="17">
        <f t="shared" si="3"/>
        <v>0</v>
      </c>
      <c r="G17" s="17">
        <f>SUM(G2:G16)</f>
        <v>695000</v>
      </c>
      <c r="H17" s="17">
        <f>SUM(H2:H16)</f>
        <v>1380861</v>
      </c>
      <c r="I17" s="17">
        <f t="shared" si="3"/>
        <v>1380861</v>
      </c>
      <c r="J17" s="18">
        <f>H17-I17</f>
        <v>0</v>
      </c>
    </row>
    <row r="18" spans="1:10" ht="14.4">
      <c r="A18" s="19"/>
      <c r="B18" s="20"/>
      <c r="C18" s="21"/>
      <c r="D18" s="22"/>
      <c r="E18" s="22"/>
      <c r="F18" s="78" t="s">
        <v>16</v>
      </c>
      <c r="G18" s="79" t="s">
        <v>17</v>
      </c>
      <c r="H18" s="21"/>
      <c r="I18" s="23"/>
      <c r="J18" s="12"/>
    </row>
    <row r="19" spans="1:10" ht="14.4">
      <c r="A19" s="24" t="s">
        <v>28</v>
      </c>
      <c r="B19" s="25"/>
      <c r="C19" s="26">
        <f>+'Bank journal'!G2</f>
        <v>5936479</v>
      </c>
      <c r="D19" s="27">
        <f>'Bank journal'!F18+'Bank journal'!F19</f>
        <v>20287610</v>
      </c>
      <c r="E19" s="26">
        <f>+GETPIVOTDATA("Spent  in XAF",'Individual costs'!$B$2,"Name","BCI")</f>
        <v>13441497</v>
      </c>
      <c r="F19" s="26"/>
      <c r="G19" s="26">
        <f>GETPIVOTDATA("Somme de Received",'Individual received'!$B$2,"Name","BCI")</f>
        <v>9500000</v>
      </c>
      <c r="H19" s="27">
        <f>+'Bank reconciliation'!D85</f>
        <v>3282592</v>
      </c>
      <c r="I19" s="28">
        <f>C19+D19-E19+F19-G19</f>
        <v>3282592</v>
      </c>
      <c r="J19" s="12">
        <f>H19-I19</f>
        <v>0</v>
      </c>
    </row>
    <row r="20" spans="1:10" ht="14.4">
      <c r="A20" s="84" t="s">
        <v>19</v>
      </c>
      <c r="B20" s="85"/>
      <c r="C20" s="85">
        <f t="shared" ref="C20:I20" si="4">SUM(C19:C19)</f>
        <v>5936479</v>
      </c>
      <c r="D20" s="85">
        <f t="shared" si="4"/>
        <v>20287610</v>
      </c>
      <c r="E20" s="85">
        <f t="shared" si="4"/>
        <v>13441497</v>
      </c>
      <c r="F20" s="85">
        <f t="shared" si="4"/>
        <v>0</v>
      </c>
      <c r="G20" s="85">
        <f t="shared" si="4"/>
        <v>9500000</v>
      </c>
      <c r="H20" s="85">
        <f t="shared" si="4"/>
        <v>3282592</v>
      </c>
      <c r="I20" s="86">
        <f t="shared" si="4"/>
        <v>3282592</v>
      </c>
      <c r="J20" s="18">
        <f>H20-I20</f>
        <v>0</v>
      </c>
    </row>
    <row r="21" spans="1:10" ht="14.4">
      <c r="A21" s="29" t="s">
        <v>20</v>
      </c>
      <c r="B21" s="30"/>
      <c r="C21" s="30"/>
      <c r="D21" s="31"/>
      <c r="E21" s="32"/>
      <c r="F21" s="30"/>
      <c r="G21" s="30"/>
      <c r="H21" s="30"/>
      <c r="I21" s="33"/>
      <c r="J21" s="34"/>
    </row>
    <row r="22" spans="1:10" ht="15" thickBot="1">
      <c r="A22" s="35"/>
      <c r="B22" s="36"/>
      <c r="C22" s="36"/>
      <c r="D22" s="36"/>
      <c r="E22" s="36"/>
      <c r="F22" s="36"/>
      <c r="G22" s="36"/>
      <c r="H22" s="36"/>
      <c r="I22" s="37"/>
      <c r="J22" s="12"/>
    </row>
    <row r="23" spans="1:10" ht="15" thickBot="1">
      <c r="A23" s="38" t="s">
        <v>21</v>
      </c>
      <c r="B23" s="39"/>
      <c r="C23" s="39"/>
      <c r="D23" s="39"/>
      <c r="E23" s="39">
        <f>E17+E20</f>
        <v>22352833</v>
      </c>
      <c r="F23" s="39"/>
      <c r="G23" s="39"/>
      <c r="H23" s="39"/>
      <c r="I23" s="40"/>
      <c r="J23" s="41"/>
    </row>
    <row r="24" spans="1:10" ht="14.4">
      <c r="A24" s="42"/>
      <c r="B24" s="43"/>
      <c r="C24" s="43"/>
      <c r="D24" s="43"/>
      <c r="E24" s="43"/>
      <c r="F24" s="43"/>
      <c r="G24" s="43"/>
      <c r="H24" s="43"/>
      <c r="I24" s="44"/>
      <c r="J24" s="12"/>
    </row>
    <row r="25" spans="1:10" ht="14.4">
      <c r="A25" s="45" t="s">
        <v>22</v>
      </c>
      <c r="B25" s="46"/>
      <c r="C25" s="47">
        <f>+'Cash journal'!G2</f>
        <v>862177</v>
      </c>
      <c r="D25" s="48">
        <f>+GETPIVOTDATA("Somme de Received",'Individual received'!$B$2)</f>
        <v>10195000</v>
      </c>
      <c r="E25" s="48">
        <f>+GETPIVOTDATA("Somme de Spent ",'Individual received'!$B$2)</f>
        <v>9830794</v>
      </c>
      <c r="F25" s="48"/>
      <c r="G25" s="48"/>
      <c r="H25" s="48">
        <f>+'Cash journal'!G145</f>
        <v>1226383</v>
      </c>
      <c r="I25" s="49">
        <f>C25+D25-E25+F25</f>
        <v>1226383</v>
      </c>
      <c r="J25" s="12">
        <f>H25-I25</f>
        <v>0</v>
      </c>
    </row>
    <row r="26" spans="1:10" ht="15" thickBot="1">
      <c r="A26" s="50"/>
      <c r="B26" s="51"/>
      <c r="C26" s="51"/>
      <c r="D26" s="51"/>
      <c r="E26" s="51"/>
      <c r="F26" s="51"/>
      <c r="G26" s="51"/>
      <c r="H26" s="51"/>
      <c r="I26" s="51"/>
      <c r="J26" s="52"/>
    </row>
    <row r="27" spans="1:10" ht="15.6">
      <c r="A27" s="53"/>
      <c r="B27" s="54"/>
      <c r="C27" s="55"/>
      <c r="D27" s="407" t="s">
        <v>23</v>
      </c>
      <c r="E27" s="407"/>
      <c r="F27" s="55"/>
      <c r="G27" s="55"/>
      <c r="H27" s="55"/>
      <c r="I27" s="56"/>
      <c r="J27" s="57"/>
    </row>
    <row r="28" spans="1:10" ht="46.8">
      <c r="A28" s="58"/>
      <c r="B28" s="59"/>
      <c r="C28" s="60" t="s">
        <v>1490</v>
      </c>
      <c r="D28" s="60" t="s">
        <v>31</v>
      </c>
      <c r="E28" s="60" t="s">
        <v>24</v>
      </c>
      <c r="F28" s="60"/>
      <c r="G28" s="60"/>
      <c r="H28" s="60" t="s">
        <v>1491</v>
      </c>
      <c r="I28" s="60" t="s">
        <v>25</v>
      </c>
      <c r="J28" s="61" t="s">
        <v>26</v>
      </c>
    </row>
    <row r="29" spans="1:10" ht="16.2" thickBot="1">
      <c r="A29" s="62" t="s">
        <v>27</v>
      </c>
      <c r="B29" s="63"/>
      <c r="C29" s="64">
        <f>C25+C20+C17</f>
        <v>7955059</v>
      </c>
      <c r="D29" s="64">
        <f>+'Bank journal'!F18+'Bank journal'!F19</f>
        <v>20287610</v>
      </c>
      <c r="E29" s="64">
        <f>E23</f>
        <v>22352833</v>
      </c>
      <c r="F29" s="65"/>
      <c r="G29" s="64"/>
      <c r="H29" s="64">
        <f>+H25+H20+H17</f>
        <v>5889836</v>
      </c>
      <c r="I29" s="64">
        <f>C29+D29-E29</f>
        <v>5889836</v>
      </c>
      <c r="J29" s="66">
        <f>H29-I29</f>
        <v>0</v>
      </c>
    </row>
    <row r="31" spans="1:10">
      <c r="F31" s="259"/>
    </row>
    <row r="32" spans="1:10">
      <c r="F32" s="259"/>
    </row>
  </sheetData>
  <mergeCells count="1">
    <mergeCell ref="D27:E27"/>
  </mergeCells>
  <phoneticPr fontId="27" type="noConversion"/>
  <pageMargins left="0.7" right="0.7" top="0.78740157499999996" bottom="0.78740157499999996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31"/>
  <sheetViews>
    <sheetView topLeftCell="A25" workbookViewId="0">
      <selection activeCell="V16" sqref="V16"/>
    </sheetView>
  </sheetViews>
  <sheetFormatPr baseColWidth="10" defaultColWidth="8.796875" defaultRowHeight="13.8"/>
  <cols>
    <col min="1" max="1" width="2.796875" customWidth="1"/>
    <col min="2" max="2" width="15.19921875" customWidth="1"/>
    <col min="3" max="3" width="11.09765625" style="72" customWidth="1"/>
    <col min="4" max="4" width="11.09765625" style="174" customWidth="1"/>
    <col min="5" max="5" width="11.09765625" customWidth="1"/>
    <col min="6" max="6" width="14.796875" customWidth="1"/>
  </cols>
  <sheetData>
    <row r="1" spans="2:6">
      <c r="B1" t="s">
        <v>70</v>
      </c>
      <c r="C1" s="72" t="s">
        <v>100</v>
      </c>
    </row>
    <row r="2" spans="2:6">
      <c r="B2" t="s">
        <v>71</v>
      </c>
      <c r="C2" s="72" t="s">
        <v>1226</v>
      </c>
    </row>
    <row r="3" spans="2:6">
      <c r="B3" t="s">
        <v>72</v>
      </c>
      <c r="C3" s="241">
        <v>2025</v>
      </c>
    </row>
    <row r="4" spans="2:6">
      <c r="C4"/>
    </row>
    <row r="5" spans="2:6">
      <c r="B5" s="168" t="s">
        <v>59</v>
      </c>
      <c r="C5" s="172"/>
      <c r="D5" s="173"/>
      <c r="E5" s="77"/>
      <c r="F5" s="77"/>
    </row>
    <row r="6" spans="2:6">
      <c r="B6" s="168"/>
      <c r="C6" s="172" t="s">
        <v>66</v>
      </c>
      <c r="D6" s="173"/>
      <c r="E6" s="77" t="s">
        <v>67</v>
      </c>
      <c r="F6" s="77"/>
    </row>
    <row r="7" spans="2:6">
      <c r="B7" s="77"/>
      <c r="C7" s="172">
        <v>10000</v>
      </c>
      <c r="D7" s="173" t="s">
        <v>60</v>
      </c>
      <c r="E7" s="77">
        <v>122</v>
      </c>
      <c r="F7" s="169">
        <f>C7*E7</f>
        <v>1220000</v>
      </c>
    </row>
    <row r="8" spans="2:6">
      <c r="B8" s="77"/>
      <c r="C8" s="172">
        <v>5000</v>
      </c>
      <c r="D8" s="173" t="s">
        <v>60</v>
      </c>
      <c r="E8" s="77">
        <v>0</v>
      </c>
      <c r="F8" s="169">
        <f>C8*E8</f>
        <v>0</v>
      </c>
    </row>
    <row r="9" spans="2:6">
      <c r="B9" s="77"/>
      <c r="C9" s="172">
        <v>2000</v>
      </c>
      <c r="D9" s="173" t="s">
        <v>60</v>
      </c>
      <c r="E9" s="77">
        <v>0</v>
      </c>
      <c r="F9" s="169">
        <f>C9*E9</f>
        <v>0</v>
      </c>
    </row>
    <row r="10" spans="2:6">
      <c r="B10" s="77"/>
      <c r="C10" s="172">
        <v>1000</v>
      </c>
      <c r="D10" s="173" t="s">
        <v>60</v>
      </c>
      <c r="E10" s="77">
        <v>6</v>
      </c>
      <c r="F10" s="169">
        <f>C10*E10</f>
        <v>6000</v>
      </c>
    </row>
    <row r="11" spans="2:6">
      <c r="B11" s="77"/>
      <c r="C11" s="172">
        <v>500</v>
      </c>
      <c r="D11" s="173" t="s">
        <v>60</v>
      </c>
      <c r="E11" s="77">
        <v>0</v>
      </c>
      <c r="F11" s="169">
        <f>C11*E11</f>
        <v>0</v>
      </c>
    </row>
    <row r="12" spans="2:6">
      <c r="B12" s="77"/>
      <c r="C12" s="172"/>
      <c r="D12" s="173"/>
      <c r="E12" s="77"/>
      <c r="F12" s="77"/>
    </row>
    <row r="13" spans="2:6">
      <c r="B13" s="170" t="s">
        <v>61</v>
      </c>
      <c r="C13" s="172"/>
      <c r="D13" s="173"/>
      <c r="E13" s="77"/>
      <c r="F13" s="77"/>
    </row>
    <row r="14" spans="2:6">
      <c r="B14" s="77"/>
      <c r="C14" s="172">
        <v>500</v>
      </c>
      <c r="D14" s="173" t="s">
        <v>60</v>
      </c>
      <c r="E14" s="77">
        <v>0</v>
      </c>
      <c r="F14" s="77">
        <f t="shared" ref="F14:F19" si="0">C14*E14</f>
        <v>0</v>
      </c>
    </row>
    <row r="15" spans="2:6">
      <c r="B15" s="77"/>
      <c r="C15" s="172">
        <v>100</v>
      </c>
      <c r="D15" s="173" t="s">
        <v>60</v>
      </c>
      <c r="E15" s="77">
        <v>2</v>
      </c>
      <c r="F15" s="77">
        <f t="shared" si="0"/>
        <v>200</v>
      </c>
    </row>
    <row r="16" spans="2:6">
      <c r="B16" s="77"/>
      <c r="C16" s="172">
        <v>50</v>
      </c>
      <c r="D16" s="173" t="s">
        <v>60</v>
      </c>
      <c r="E16" s="77">
        <v>3</v>
      </c>
      <c r="F16" s="77">
        <f t="shared" si="0"/>
        <v>150</v>
      </c>
    </row>
    <row r="17" spans="2:7">
      <c r="B17" s="77"/>
      <c r="C17" s="172">
        <v>25</v>
      </c>
      <c r="D17" s="173" t="s">
        <v>60</v>
      </c>
      <c r="E17" s="77">
        <v>2</v>
      </c>
      <c r="F17" s="77">
        <f t="shared" si="0"/>
        <v>50</v>
      </c>
    </row>
    <row r="18" spans="2:7">
      <c r="B18" s="77"/>
      <c r="C18" s="172">
        <v>10</v>
      </c>
      <c r="D18" s="173" t="s">
        <v>60</v>
      </c>
      <c r="E18" s="77">
        <v>0</v>
      </c>
      <c r="F18" s="77">
        <f t="shared" si="0"/>
        <v>0</v>
      </c>
    </row>
    <row r="19" spans="2:7">
      <c r="B19" s="77"/>
      <c r="C19" s="172">
        <v>5</v>
      </c>
      <c r="D19" s="173" t="s">
        <v>60</v>
      </c>
      <c r="E19" s="77">
        <v>0</v>
      </c>
      <c r="F19" s="77">
        <f t="shared" si="0"/>
        <v>0</v>
      </c>
    </row>
    <row r="20" spans="2:7">
      <c r="B20" s="77"/>
      <c r="C20" s="172"/>
      <c r="D20" s="173"/>
      <c r="E20" s="77"/>
      <c r="F20" s="171">
        <f>SUM(F7:F19)</f>
        <v>1226400</v>
      </c>
    </row>
    <row r="21" spans="2:7">
      <c r="B21" s="77"/>
      <c r="C21" s="172"/>
      <c r="D21" s="173"/>
      <c r="E21" s="77"/>
      <c r="F21" s="168"/>
    </row>
    <row r="22" spans="2:7">
      <c r="B22" s="77" t="s">
        <v>62</v>
      </c>
      <c r="C22" s="172"/>
      <c r="D22" s="173"/>
      <c r="E22" s="77"/>
      <c r="F22" s="171">
        <f>F20</f>
        <v>1226400</v>
      </c>
    </row>
    <row r="23" spans="2:7">
      <c r="B23" s="77" t="s">
        <v>63</v>
      </c>
      <c r="C23" s="172"/>
      <c r="D23" s="173"/>
      <c r="E23" s="77"/>
      <c r="F23" s="171">
        <f>+'Cash journal'!G145</f>
        <v>1226383</v>
      </c>
    </row>
    <row r="24" spans="2:7">
      <c r="B24" s="77" t="s">
        <v>64</v>
      </c>
      <c r="C24" s="172"/>
      <c r="D24" s="173"/>
      <c r="E24" s="77"/>
      <c r="F24" s="169">
        <f>+F22-F23</f>
        <v>17</v>
      </c>
    </row>
    <row r="26" spans="2:7">
      <c r="B26" t="s">
        <v>65</v>
      </c>
    </row>
    <row r="28" spans="2:7">
      <c r="B28" t="s">
        <v>68</v>
      </c>
      <c r="F28" t="s">
        <v>69</v>
      </c>
    </row>
    <row r="31" spans="2:7">
      <c r="B31" s="245" t="s">
        <v>558</v>
      </c>
      <c r="C31" s="246"/>
      <c r="D31" s="247"/>
      <c r="E31" s="245"/>
      <c r="F31" s="248" t="s">
        <v>559</v>
      </c>
      <c r="G31" s="245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O587"/>
  <sheetViews>
    <sheetView tabSelected="1" workbookViewId="0">
      <selection activeCell="G484" sqref="G484"/>
    </sheetView>
  </sheetViews>
  <sheetFormatPr baseColWidth="10" defaultColWidth="8.796875" defaultRowHeight="13.8"/>
  <cols>
    <col min="1" max="1" width="13.796875" customWidth="1"/>
    <col min="2" max="2" width="75" customWidth="1"/>
    <col min="3" max="3" width="18.796875" customWidth="1"/>
    <col min="4" max="4" width="19.19921875" customWidth="1"/>
    <col min="5" max="5" width="11.3984375" customWidth="1"/>
    <col min="6" max="6" width="16.09765625" customWidth="1"/>
    <col min="7" max="15" width="13.796875" customWidth="1"/>
  </cols>
  <sheetData>
    <row r="1" spans="1:15" ht="14.4">
      <c r="A1" s="1" t="s">
        <v>0</v>
      </c>
      <c r="B1" s="2" t="s">
        <v>1</v>
      </c>
      <c r="C1" s="2" t="s">
        <v>2</v>
      </c>
      <c r="D1" s="2" t="s">
        <v>3</v>
      </c>
      <c r="E1" s="71" t="s">
        <v>153</v>
      </c>
      <c r="F1" s="73" t="s">
        <v>4</v>
      </c>
      <c r="G1" s="3" t="s">
        <v>5</v>
      </c>
      <c r="H1" s="4" t="s">
        <v>10</v>
      </c>
      <c r="I1" s="4" t="s">
        <v>6</v>
      </c>
      <c r="J1" s="4" t="s">
        <v>7</v>
      </c>
      <c r="K1" s="5" t="s">
        <v>8</v>
      </c>
      <c r="L1" s="4" t="s">
        <v>9</v>
      </c>
      <c r="M1" s="71" t="s">
        <v>152</v>
      </c>
      <c r="N1" s="71" t="s">
        <v>552</v>
      </c>
      <c r="O1" s="4" t="s">
        <v>73</v>
      </c>
    </row>
    <row r="2" spans="1:15" ht="15.6" hidden="1" customHeight="1">
      <c r="A2" s="214">
        <v>45659</v>
      </c>
      <c r="B2" s="215" t="s">
        <v>154</v>
      </c>
      <c r="C2" s="215" t="s">
        <v>155</v>
      </c>
      <c r="D2" s="215" t="s">
        <v>122</v>
      </c>
      <c r="E2" s="215">
        <v>20000</v>
      </c>
      <c r="F2" s="242">
        <f t="shared" ref="F2:F33" si="0">+E2/G2</f>
        <v>35.074489446962986</v>
      </c>
      <c r="G2" s="215">
        <v>570.21500000000003</v>
      </c>
      <c r="H2" s="215" t="s">
        <v>156</v>
      </c>
      <c r="I2" s="215" t="s">
        <v>157</v>
      </c>
      <c r="J2" s="77" t="s">
        <v>100</v>
      </c>
      <c r="K2" s="215" t="s">
        <v>158</v>
      </c>
      <c r="L2" s="77" t="s">
        <v>159</v>
      </c>
      <c r="M2" s="284"/>
      <c r="N2" s="77"/>
      <c r="O2" s="77"/>
    </row>
    <row r="3" spans="1:15" ht="15.6" hidden="1" customHeight="1">
      <c r="A3" s="214">
        <v>45659</v>
      </c>
      <c r="B3" s="215" t="s">
        <v>160</v>
      </c>
      <c r="C3" s="215" t="s">
        <v>155</v>
      </c>
      <c r="D3" s="215" t="s">
        <v>121</v>
      </c>
      <c r="E3" s="215">
        <v>21000</v>
      </c>
      <c r="F3" s="242">
        <f t="shared" si="0"/>
        <v>36.828213919311132</v>
      </c>
      <c r="G3" s="215">
        <v>570.21500000000003</v>
      </c>
      <c r="H3" s="215" t="s">
        <v>161</v>
      </c>
      <c r="I3" s="215" t="s">
        <v>162</v>
      </c>
      <c r="J3" s="77" t="s">
        <v>100</v>
      </c>
      <c r="K3" s="215" t="s">
        <v>158</v>
      </c>
      <c r="L3" s="77" t="s">
        <v>159</v>
      </c>
      <c r="M3" s="284"/>
      <c r="N3" s="77"/>
      <c r="O3" s="77"/>
    </row>
    <row r="4" spans="1:15" ht="15.6" hidden="1" customHeight="1">
      <c r="A4" s="214">
        <v>45659</v>
      </c>
      <c r="B4" s="215" t="s">
        <v>163</v>
      </c>
      <c r="C4" s="215" t="s">
        <v>155</v>
      </c>
      <c r="D4" s="215" t="s">
        <v>120</v>
      </c>
      <c r="E4" s="215">
        <v>95000</v>
      </c>
      <c r="F4" s="242">
        <f t="shared" si="0"/>
        <v>166.60382487307419</v>
      </c>
      <c r="G4" s="215">
        <v>570.21500000000003</v>
      </c>
      <c r="H4" s="215" t="s">
        <v>161</v>
      </c>
      <c r="I4" s="215" t="s">
        <v>164</v>
      </c>
      <c r="J4" s="77" t="s">
        <v>100</v>
      </c>
      <c r="K4" s="215" t="s">
        <v>158</v>
      </c>
      <c r="L4" s="77" t="s">
        <v>159</v>
      </c>
      <c r="M4" s="284"/>
      <c r="N4" s="77"/>
      <c r="O4" s="77"/>
    </row>
    <row r="5" spans="1:15" ht="15.6" hidden="1" customHeight="1">
      <c r="A5" s="214">
        <v>45659</v>
      </c>
      <c r="B5" s="215" t="s">
        <v>165</v>
      </c>
      <c r="C5" s="215" t="s">
        <v>155</v>
      </c>
      <c r="D5" s="215" t="s">
        <v>124</v>
      </c>
      <c r="E5" s="215">
        <v>88000</v>
      </c>
      <c r="F5" s="242">
        <f t="shared" si="0"/>
        <v>154.32775356663714</v>
      </c>
      <c r="G5" s="215">
        <v>570.21500000000003</v>
      </c>
      <c r="H5" s="215" t="s">
        <v>161</v>
      </c>
      <c r="I5" s="215" t="s">
        <v>166</v>
      </c>
      <c r="J5" s="77" t="s">
        <v>100</v>
      </c>
      <c r="K5" s="215" t="s">
        <v>158</v>
      </c>
      <c r="L5" s="77" t="s">
        <v>159</v>
      </c>
      <c r="M5" s="284"/>
      <c r="N5" s="77"/>
      <c r="O5" s="77"/>
    </row>
    <row r="6" spans="1:15" ht="15.6" hidden="1" customHeight="1">
      <c r="A6" s="214">
        <v>45659</v>
      </c>
      <c r="B6" s="215" t="s">
        <v>167</v>
      </c>
      <c r="C6" s="215" t="s">
        <v>155</v>
      </c>
      <c r="D6" s="215" t="s">
        <v>123</v>
      </c>
      <c r="E6" s="215">
        <v>10000</v>
      </c>
      <c r="F6" s="242">
        <f t="shared" si="0"/>
        <v>17.537244723481493</v>
      </c>
      <c r="G6" s="215">
        <v>570.21500000000003</v>
      </c>
      <c r="H6" s="215" t="s">
        <v>161</v>
      </c>
      <c r="I6" s="215" t="s">
        <v>168</v>
      </c>
      <c r="J6" s="77" t="s">
        <v>100</v>
      </c>
      <c r="K6" s="215" t="s">
        <v>158</v>
      </c>
      <c r="L6" s="77" t="s">
        <v>159</v>
      </c>
      <c r="M6" s="284"/>
      <c r="N6" s="77"/>
      <c r="O6" s="77"/>
    </row>
    <row r="7" spans="1:15" ht="15.6" hidden="1" customHeight="1">
      <c r="A7" s="214">
        <v>45659</v>
      </c>
      <c r="B7" s="215" t="s">
        <v>169</v>
      </c>
      <c r="C7" s="215" t="s">
        <v>155</v>
      </c>
      <c r="D7" s="215" t="s">
        <v>120</v>
      </c>
      <c r="E7" s="215">
        <v>10000</v>
      </c>
      <c r="F7" s="242">
        <f t="shared" si="0"/>
        <v>17.537244723481493</v>
      </c>
      <c r="G7" s="215">
        <v>570.21500000000003</v>
      </c>
      <c r="H7" s="215" t="s">
        <v>161</v>
      </c>
      <c r="I7" s="215" t="s">
        <v>170</v>
      </c>
      <c r="J7" s="77" t="s">
        <v>100</v>
      </c>
      <c r="K7" s="215" t="s">
        <v>158</v>
      </c>
      <c r="L7" s="77" t="s">
        <v>159</v>
      </c>
      <c r="M7" s="284"/>
      <c r="N7" s="77"/>
      <c r="O7" s="77"/>
    </row>
    <row r="8" spans="1:15" ht="15.6" hidden="1" customHeight="1">
      <c r="A8" s="214">
        <v>45659</v>
      </c>
      <c r="B8" s="215" t="s">
        <v>171</v>
      </c>
      <c r="C8" s="215" t="s">
        <v>155</v>
      </c>
      <c r="D8" s="215" t="s">
        <v>124</v>
      </c>
      <c r="E8" s="215">
        <v>16000</v>
      </c>
      <c r="F8" s="242">
        <f t="shared" si="0"/>
        <v>28.059591557570389</v>
      </c>
      <c r="G8" s="215">
        <v>570.21500000000003</v>
      </c>
      <c r="H8" s="215" t="s">
        <v>161</v>
      </c>
      <c r="I8" s="215" t="s">
        <v>172</v>
      </c>
      <c r="J8" s="77" t="s">
        <v>100</v>
      </c>
      <c r="K8" s="215" t="s">
        <v>158</v>
      </c>
      <c r="L8" s="77" t="s">
        <v>159</v>
      </c>
      <c r="M8" s="284"/>
      <c r="N8" s="77"/>
      <c r="O8" s="77"/>
    </row>
    <row r="9" spans="1:15" ht="15.6" hidden="1" customHeight="1">
      <c r="A9" s="214">
        <v>45659</v>
      </c>
      <c r="B9" s="215" t="s">
        <v>173</v>
      </c>
      <c r="C9" s="215" t="s">
        <v>155</v>
      </c>
      <c r="D9" s="215" t="s">
        <v>123</v>
      </c>
      <c r="E9" s="215">
        <v>11000</v>
      </c>
      <c r="F9" s="242">
        <f t="shared" si="0"/>
        <v>19.290969195829643</v>
      </c>
      <c r="G9" s="215">
        <v>570.21500000000003</v>
      </c>
      <c r="H9" s="215" t="s">
        <v>161</v>
      </c>
      <c r="I9" s="215" t="s">
        <v>174</v>
      </c>
      <c r="J9" s="77" t="s">
        <v>100</v>
      </c>
      <c r="K9" s="215" t="s">
        <v>158</v>
      </c>
      <c r="L9" s="77" t="s">
        <v>159</v>
      </c>
      <c r="M9" s="284"/>
      <c r="N9" s="77"/>
      <c r="O9" s="77"/>
    </row>
    <row r="10" spans="1:15" ht="15.6" hidden="1" customHeight="1">
      <c r="A10" s="214">
        <v>45660</v>
      </c>
      <c r="B10" s="215" t="s">
        <v>175</v>
      </c>
      <c r="C10" s="215" t="s">
        <v>1538</v>
      </c>
      <c r="D10" s="215" t="s">
        <v>121</v>
      </c>
      <c r="E10" s="215">
        <v>25000</v>
      </c>
      <c r="F10" s="242">
        <f t="shared" si="0"/>
        <v>43.843111808703732</v>
      </c>
      <c r="G10" s="215">
        <v>570.21500000000003</v>
      </c>
      <c r="H10" s="215" t="s">
        <v>161</v>
      </c>
      <c r="I10" s="215" t="s">
        <v>177</v>
      </c>
      <c r="J10" s="77" t="s">
        <v>100</v>
      </c>
      <c r="K10" s="215" t="s">
        <v>158</v>
      </c>
      <c r="L10" s="77" t="s">
        <v>159</v>
      </c>
      <c r="M10" s="284"/>
      <c r="N10" s="77"/>
      <c r="O10" s="77"/>
    </row>
    <row r="11" spans="1:15" ht="15.6" hidden="1" customHeight="1">
      <c r="A11" s="214">
        <v>45663</v>
      </c>
      <c r="B11" s="215" t="s">
        <v>104</v>
      </c>
      <c r="C11" s="215" t="s">
        <v>126</v>
      </c>
      <c r="D11" s="215" t="s">
        <v>120</v>
      </c>
      <c r="E11" s="215">
        <v>300000</v>
      </c>
      <c r="F11" s="242">
        <f t="shared" si="0"/>
        <v>526.11734170444481</v>
      </c>
      <c r="G11" s="215">
        <v>570.21500000000003</v>
      </c>
      <c r="H11" s="215" t="s">
        <v>151</v>
      </c>
      <c r="I11" s="215" t="s">
        <v>132</v>
      </c>
      <c r="J11" s="77" t="s">
        <v>100</v>
      </c>
      <c r="K11" s="215" t="s">
        <v>158</v>
      </c>
      <c r="L11" s="77" t="s">
        <v>159</v>
      </c>
      <c r="M11" s="284"/>
      <c r="N11" s="77"/>
      <c r="O11" s="77"/>
    </row>
    <row r="12" spans="1:15" ht="15.6" hidden="1" customHeight="1">
      <c r="A12" s="214">
        <v>45663</v>
      </c>
      <c r="B12" s="215" t="s">
        <v>105</v>
      </c>
      <c r="C12" s="215" t="s">
        <v>126</v>
      </c>
      <c r="D12" s="215" t="s">
        <v>120</v>
      </c>
      <c r="E12" s="215">
        <v>300000</v>
      </c>
      <c r="F12" s="242">
        <f t="shared" si="0"/>
        <v>526.11734170444481</v>
      </c>
      <c r="G12" s="215">
        <v>570.21500000000003</v>
      </c>
      <c r="H12" s="215" t="s">
        <v>151</v>
      </c>
      <c r="I12" s="215" t="s">
        <v>133</v>
      </c>
      <c r="J12" s="77" t="s">
        <v>100</v>
      </c>
      <c r="K12" s="215" t="s">
        <v>158</v>
      </c>
      <c r="L12" s="77" t="s">
        <v>159</v>
      </c>
      <c r="M12" s="284"/>
      <c r="N12" s="77"/>
      <c r="O12" s="77"/>
    </row>
    <row r="13" spans="1:15" ht="15.6" hidden="1" customHeight="1">
      <c r="A13" s="214">
        <v>45663</v>
      </c>
      <c r="B13" s="215" t="s">
        <v>561</v>
      </c>
      <c r="C13" s="215" t="s">
        <v>129</v>
      </c>
      <c r="D13" s="215" t="s">
        <v>121</v>
      </c>
      <c r="E13" s="215">
        <v>500000</v>
      </c>
      <c r="F13" s="242">
        <f t="shared" si="0"/>
        <v>838.65459674971032</v>
      </c>
      <c r="G13" s="215">
        <v>596.19299999999998</v>
      </c>
      <c r="H13" s="215" t="s">
        <v>151</v>
      </c>
      <c r="I13" s="215" t="s">
        <v>135</v>
      </c>
      <c r="J13" s="77" t="s">
        <v>100</v>
      </c>
      <c r="K13" s="215" t="s">
        <v>158</v>
      </c>
      <c r="L13" s="77" t="s">
        <v>159</v>
      </c>
      <c r="M13" s="284"/>
      <c r="N13" s="77"/>
      <c r="O13" s="77"/>
    </row>
    <row r="14" spans="1:15" ht="15.6" hidden="1" customHeight="1">
      <c r="A14" s="214">
        <v>45663</v>
      </c>
      <c r="B14" s="215" t="s">
        <v>564</v>
      </c>
      <c r="C14" s="215" t="s">
        <v>324</v>
      </c>
      <c r="D14" s="215" t="s">
        <v>121</v>
      </c>
      <c r="E14" s="215">
        <v>260000</v>
      </c>
      <c r="F14" s="242">
        <f t="shared" si="0"/>
        <v>436.10039030984933</v>
      </c>
      <c r="G14" s="215">
        <v>596.19299999999998</v>
      </c>
      <c r="H14" s="215" t="s">
        <v>151</v>
      </c>
      <c r="I14" s="215" t="s">
        <v>145</v>
      </c>
      <c r="J14" s="77" t="s">
        <v>100</v>
      </c>
      <c r="K14" s="215" t="s">
        <v>158</v>
      </c>
      <c r="L14" s="77" t="s">
        <v>159</v>
      </c>
      <c r="M14" s="284"/>
      <c r="N14" s="77"/>
      <c r="O14" s="77"/>
    </row>
    <row r="15" spans="1:15" ht="15.6" hidden="1" customHeight="1">
      <c r="A15" s="214">
        <v>45663</v>
      </c>
      <c r="B15" s="215" t="s">
        <v>565</v>
      </c>
      <c r="C15" s="215" t="s">
        <v>126</v>
      </c>
      <c r="D15" s="215" t="s">
        <v>120</v>
      </c>
      <c r="E15" s="215">
        <v>150000</v>
      </c>
      <c r="F15" s="242">
        <f t="shared" si="0"/>
        <v>251.59637902491309</v>
      </c>
      <c r="G15" s="215">
        <v>596.19299999999998</v>
      </c>
      <c r="H15" s="215" t="s">
        <v>151</v>
      </c>
      <c r="I15" s="215" t="s">
        <v>146</v>
      </c>
      <c r="J15" s="77" t="s">
        <v>100</v>
      </c>
      <c r="K15" s="215" t="s">
        <v>158</v>
      </c>
      <c r="L15" s="77" t="s">
        <v>159</v>
      </c>
      <c r="M15" s="284"/>
      <c r="N15" s="77"/>
      <c r="O15" s="77"/>
    </row>
    <row r="16" spans="1:15" ht="15.6" hidden="1" customHeight="1">
      <c r="A16" s="214">
        <v>45664</v>
      </c>
      <c r="B16" s="215" t="s">
        <v>178</v>
      </c>
      <c r="C16" s="215" t="s">
        <v>179</v>
      </c>
      <c r="D16" s="215" t="s">
        <v>180</v>
      </c>
      <c r="E16" s="215">
        <v>7000</v>
      </c>
      <c r="F16" s="242">
        <f t="shared" si="0"/>
        <v>12.276071306437045</v>
      </c>
      <c r="G16" s="215">
        <v>570.21500000000003</v>
      </c>
      <c r="H16" s="215" t="s">
        <v>181</v>
      </c>
      <c r="I16" s="215" t="s">
        <v>182</v>
      </c>
      <c r="J16" s="77" t="s">
        <v>100</v>
      </c>
      <c r="K16" s="215" t="s">
        <v>158</v>
      </c>
      <c r="L16" s="77" t="s">
        <v>159</v>
      </c>
      <c r="M16" s="284"/>
      <c r="N16" s="77"/>
      <c r="O16" s="77"/>
    </row>
    <row r="17" spans="1:15" ht="15.6" hidden="1" customHeight="1">
      <c r="A17" s="214">
        <v>45664</v>
      </c>
      <c r="B17" s="215" t="s">
        <v>183</v>
      </c>
      <c r="C17" s="215" t="s">
        <v>184</v>
      </c>
      <c r="D17" s="215" t="s">
        <v>180</v>
      </c>
      <c r="E17" s="215">
        <v>100000</v>
      </c>
      <c r="F17" s="242">
        <f t="shared" si="0"/>
        <v>175.37244723481493</v>
      </c>
      <c r="G17" s="215">
        <v>570.21500000000003</v>
      </c>
      <c r="H17" s="215" t="s">
        <v>181</v>
      </c>
      <c r="I17" s="215" t="s">
        <v>185</v>
      </c>
      <c r="J17" s="77" t="s">
        <v>100</v>
      </c>
      <c r="K17" s="215" t="s">
        <v>158</v>
      </c>
      <c r="L17" s="77" t="s">
        <v>159</v>
      </c>
      <c r="M17" s="284"/>
      <c r="N17" s="77"/>
      <c r="O17" s="77"/>
    </row>
    <row r="18" spans="1:15" ht="15.6" hidden="1" customHeight="1">
      <c r="A18" s="214">
        <v>45665</v>
      </c>
      <c r="B18" s="215" t="s">
        <v>186</v>
      </c>
      <c r="C18" s="215" t="s">
        <v>179</v>
      </c>
      <c r="D18" s="215" t="s">
        <v>122</v>
      </c>
      <c r="E18" s="215">
        <v>226000</v>
      </c>
      <c r="F18" s="242">
        <f t="shared" si="0"/>
        <v>396.34173075068173</v>
      </c>
      <c r="G18" s="215">
        <v>570.21500000000003</v>
      </c>
      <c r="H18" s="215" t="s">
        <v>156</v>
      </c>
      <c r="I18" s="215" t="s">
        <v>187</v>
      </c>
      <c r="J18" s="77" t="s">
        <v>100</v>
      </c>
      <c r="K18" s="215" t="s">
        <v>158</v>
      </c>
      <c r="L18" s="77" t="s">
        <v>159</v>
      </c>
      <c r="M18" s="284"/>
      <c r="N18" s="77"/>
      <c r="O18" s="77"/>
    </row>
    <row r="19" spans="1:15" ht="15.6" hidden="1" customHeight="1">
      <c r="A19" s="214">
        <v>45665</v>
      </c>
      <c r="B19" s="215" t="s">
        <v>188</v>
      </c>
      <c r="C19" s="215" t="s">
        <v>1539</v>
      </c>
      <c r="D19" s="215" t="s">
        <v>121</v>
      </c>
      <c r="E19" s="215">
        <v>22640</v>
      </c>
      <c r="F19" s="242">
        <f t="shared" si="0"/>
        <v>39.704322053962102</v>
      </c>
      <c r="G19" s="215">
        <v>570.21500000000003</v>
      </c>
      <c r="H19" s="215" t="s">
        <v>161</v>
      </c>
      <c r="I19" s="215" t="s">
        <v>190</v>
      </c>
      <c r="J19" s="77" t="s">
        <v>100</v>
      </c>
      <c r="K19" s="215" t="s">
        <v>158</v>
      </c>
      <c r="L19" s="77" t="s">
        <v>159</v>
      </c>
      <c r="M19" s="284"/>
      <c r="N19" s="77"/>
      <c r="O19" s="77"/>
    </row>
    <row r="20" spans="1:15" ht="15.6" hidden="1" customHeight="1">
      <c r="A20" s="214">
        <v>45665</v>
      </c>
      <c r="B20" s="215" t="s">
        <v>191</v>
      </c>
      <c r="C20" s="215" t="s">
        <v>179</v>
      </c>
      <c r="D20" s="215" t="s">
        <v>124</v>
      </c>
      <c r="E20" s="215">
        <v>7000</v>
      </c>
      <c r="F20" s="242">
        <f t="shared" si="0"/>
        <v>12.276071306437045</v>
      </c>
      <c r="G20" s="215">
        <v>570.21500000000003</v>
      </c>
      <c r="H20" s="215" t="s">
        <v>192</v>
      </c>
      <c r="I20" s="215" t="s">
        <v>193</v>
      </c>
      <c r="J20" s="77" t="s">
        <v>100</v>
      </c>
      <c r="K20" s="215" t="s">
        <v>158</v>
      </c>
      <c r="L20" s="77" t="s">
        <v>159</v>
      </c>
      <c r="M20" s="284"/>
      <c r="N20" s="77"/>
      <c r="O20" s="77"/>
    </row>
    <row r="21" spans="1:15" ht="15.6" hidden="1" customHeight="1">
      <c r="A21" s="214">
        <v>45665</v>
      </c>
      <c r="B21" s="215" t="s">
        <v>194</v>
      </c>
      <c r="C21" s="215" t="s">
        <v>179</v>
      </c>
      <c r="D21" s="215" t="s">
        <v>120</v>
      </c>
      <c r="E21" s="215">
        <v>7000</v>
      </c>
      <c r="F21" s="242">
        <f t="shared" si="0"/>
        <v>12.276071306437045</v>
      </c>
      <c r="G21" s="215">
        <v>570.21500000000003</v>
      </c>
      <c r="H21" s="215" t="s">
        <v>195</v>
      </c>
      <c r="I21" s="215" t="s">
        <v>196</v>
      </c>
      <c r="J21" s="77" t="s">
        <v>100</v>
      </c>
      <c r="K21" s="215" t="s">
        <v>158</v>
      </c>
      <c r="L21" s="77" t="s">
        <v>159</v>
      </c>
      <c r="M21" s="284"/>
      <c r="N21" s="77"/>
      <c r="O21" s="77"/>
    </row>
    <row r="22" spans="1:15" ht="15.6" hidden="1" customHeight="1">
      <c r="A22" s="214">
        <v>45665</v>
      </c>
      <c r="B22" s="215" t="s">
        <v>197</v>
      </c>
      <c r="C22" s="215" t="s">
        <v>179</v>
      </c>
      <c r="D22" s="215" t="s">
        <v>120</v>
      </c>
      <c r="E22" s="215">
        <v>7000</v>
      </c>
      <c r="F22" s="242">
        <f t="shared" si="0"/>
        <v>12.276071306437045</v>
      </c>
      <c r="G22" s="215">
        <v>570.21500000000003</v>
      </c>
      <c r="H22" s="215" t="s">
        <v>198</v>
      </c>
      <c r="I22" s="215" t="s">
        <v>199</v>
      </c>
      <c r="J22" s="77" t="s">
        <v>100</v>
      </c>
      <c r="K22" s="215" t="s">
        <v>158</v>
      </c>
      <c r="L22" s="77" t="s">
        <v>159</v>
      </c>
      <c r="M22" s="284"/>
      <c r="N22" s="77"/>
      <c r="O22" s="77"/>
    </row>
    <row r="23" spans="1:15" ht="15.6" hidden="1" customHeight="1">
      <c r="A23" s="214">
        <v>45665</v>
      </c>
      <c r="B23" s="215" t="s">
        <v>200</v>
      </c>
      <c r="C23" s="215" t="s">
        <v>1539</v>
      </c>
      <c r="D23" s="215" t="s">
        <v>121</v>
      </c>
      <c r="E23" s="215">
        <v>1860</v>
      </c>
      <c r="F23" s="242">
        <f t="shared" si="0"/>
        <v>3.2619275185675578</v>
      </c>
      <c r="G23" s="215">
        <v>570.21500000000003</v>
      </c>
      <c r="H23" s="215" t="s">
        <v>201</v>
      </c>
      <c r="I23" s="215" t="s">
        <v>202</v>
      </c>
      <c r="J23" s="77" t="s">
        <v>100</v>
      </c>
      <c r="K23" s="215" t="s">
        <v>158</v>
      </c>
      <c r="L23" s="77" t="s">
        <v>159</v>
      </c>
      <c r="M23" s="284"/>
      <c r="N23" s="77"/>
      <c r="O23" s="77"/>
    </row>
    <row r="24" spans="1:15" ht="15.6" hidden="1" customHeight="1">
      <c r="A24" s="214">
        <v>45665</v>
      </c>
      <c r="B24" s="215" t="s">
        <v>203</v>
      </c>
      <c r="C24" s="215" t="s">
        <v>204</v>
      </c>
      <c r="D24" s="215" t="s">
        <v>120</v>
      </c>
      <c r="E24" s="215">
        <v>7000</v>
      </c>
      <c r="F24" s="242">
        <f t="shared" si="0"/>
        <v>12.276071306437045</v>
      </c>
      <c r="G24" s="215">
        <v>570.21500000000003</v>
      </c>
      <c r="H24" s="215" t="s">
        <v>205</v>
      </c>
      <c r="I24" s="215" t="s">
        <v>206</v>
      </c>
      <c r="J24" s="77" t="s">
        <v>100</v>
      </c>
      <c r="K24" s="215" t="s">
        <v>158</v>
      </c>
      <c r="L24" s="77" t="s">
        <v>159</v>
      </c>
      <c r="M24" s="284"/>
      <c r="N24" s="77"/>
      <c r="O24" s="77"/>
    </row>
    <row r="25" spans="1:15" ht="15.6" hidden="1" customHeight="1">
      <c r="A25" s="214">
        <v>45666</v>
      </c>
      <c r="B25" s="215" t="s">
        <v>207</v>
      </c>
      <c r="C25" s="215" t="s">
        <v>179</v>
      </c>
      <c r="D25" s="215" t="s">
        <v>208</v>
      </c>
      <c r="E25" s="215">
        <v>7000</v>
      </c>
      <c r="F25" s="242">
        <f t="shared" si="0"/>
        <v>12.276071306437045</v>
      </c>
      <c r="G25" s="215">
        <v>570.21500000000003</v>
      </c>
      <c r="H25" s="215" t="s">
        <v>209</v>
      </c>
      <c r="I25" s="215" t="s">
        <v>210</v>
      </c>
      <c r="J25" s="77" t="s">
        <v>100</v>
      </c>
      <c r="K25" s="215" t="s">
        <v>158</v>
      </c>
      <c r="L25" s="77" t="s">
        <v>159</v>
      </c>
      <c r="M25" s="284"/>
      <c r="N25" s="77"/>
      <c r="O25" s="77"/>
    </row>
    <row r="26" spans="1:15" ht="15.6" hidden="1" customHeight="1">
      <c r="A26" s="214">
        <v>45666</v>
      </c>
      <c r="B26" s="215" t="s">
        <v>212</v>
      </c>
      <c r="C26" s="215" t="s">
        <v>184</v>
      </c>
      <c r="D26" s="215" t="s">
        <v>124</v>
      </c>
      <c r="E26" s="215">
        <v>80000</v>
      </c>
      <c r="F26" s="242">
        <f t="shared" si="0"/>
        <v>140.29795778785194</v>
      </c>
      <c r="G26" s="215">
        <v>570.21500000000003</v>
      </c>
      <c r="H26" s="215" t="s">
        <v>192</v>
      </c>
      <c r="I26" s="215" t="s">
        <v>213</v>
      </c>
      <c r="J26" s="77" t="s">
        <v>100</v>
      </c>
      <c r="K26" s="215" t="s">
        <v>158</v>
      </c>
      <c r="L26" s="77" t="s">
        <v>159</v>
      </c>
      <c r="M26" s="284"/>
      <c r="N26" s="77"/>
      <c r="O26" s="77"/>
    </row>
    <row r="27" spans="1:15" ht="15.6" hidden="1" customHeight="1">
      <c r="A27" s="214">
        <v>45666</v>
      </c>
      <c r="B27" s="215" t="s">
        <v>214</v>
      </c>
      <c r="C27" s="215" t="s">
        <v>184</v>
      </c>
      <c r="D27" s="215" t="s">
        <v>120</v>
      </c>
      <c r="E27" s="215">
        <v>160000</v>
      </c>
      <c r="F27" s="242">
        <f t="shared" si="0"/>
        <v>280.59591557570388</v>
      </c>
      <c r="G27" s="215">
        <v>570.21500000000003</v>
      </c>
      <c r="H27" s="215" t="s">
        <v>195</v>
      </c>
      <c r="I27" s="215" t="s">
        <v>215</v>
      </c>
      <c r="J27" s="77" t="s">
        <v>100</v>
      </c>
      <c r="K27" s="215" t="s">
        <v>158</v>
      </c>
      <c r="L27" s="77" t="s">
        <v>159</v>
      </c>
      <c r="M27" s="284"/>
      <c r="N27" s="77"/>
      <c r="O27" s="77"/>
    </row>
    <row r="28" spans="1:15" ht="15.6" hidden="1" customHeight="1">
      <c r="A28" s="214">
        <v>45666</v>
      </c>
      <c r="B28" s="215" t="s">
        <v>216</v>
      </c>
      <c r="C28" s="215" t="s">
        <v>184</v>
      </c>
      <c r="D28" s="215" t="s">
        <v>120</v>
      </c>
      <c r="E28" s="215">
        <v>80000</v>
      </c>
      <c r="F28" s="242">
        <f t="shared" si="0"/>
        <v>140.29795778785194</v>
      </c>
      <c r="G28" s="215">
        <v>570.21500000000003</v>
      </c>
      <c r="H28" s="215" t="s">
        <v>198</v>
      </c>
      <c r="I28" s="215" t="s">
        <v>217</v>
      </c>
      <c r="J28" s="77" t="s">
        <v>100</v>
      </c>
      <c r="K28" s="215" t="s">
        <v>158</v>
      </c>
      <c r="L28" s="77" t="s">
        <v>159</v>
      </c>
      <c r="M28" s="284"/>
      <c r="N28" s="77"/>
      <c r="O28" s="77"/>
    </row>
    <row r="29" spans="1:15" ht="15.6" hidden="1" customHeight="1">
      <c r="A29" s="214">
        <v>45666</v>
      </c>
      <c r="B29" s="215" t="s">
        <v>218</v>
      </c>
      <c r="C29" s="215" t="s">
        <v>1539</v>
      </c>
      <c r="D29" s="215" t="s">
        <v>121</v>
      </c>
      <c r="E29" s="215">
        <v>32070</v>
      </c>
      <c r="F29" s="242">
        <f t="shared" si="0"/>
        <v>56.241943828205144</v>
      </c>
      <c r="G29" s="215">
        <v>570.21500000000003</v>
      </c>
      <c r="H29" s="215" t="s">
        <v>201</v>
      </c>
      <c r="I29" s="215" t="s">
        <v>219</v>
      </c>
      <c r="J29" s="77" t="s">
        <v>100</v>
      </c>
      <c r="K29" s="215" t="s">
        <v>158</v>
      </c>
      <c r="L29" s="77" t="s">
        <v>159</v>
      </c>
      <c r="M29" s="284"/>
      <c r="N29" s="77"/>
      <c r="O29" s="77"/>
    </row>
    <row r="30" spans="1:15" ht="15.6" hidden="1" customHeight="1">
      <c r="A30" s="214">
        <v>45666</v>
      </c>
      <c r="B30" s="215" t="s">
        <v>220</v>
      </c>
      <c r="C30" s="215" t="s">
        <v>184</v>
      </c>
      <c r="D30" s="215" t="s">
        <v>120</v>
      </c>
      <c r="E30" s="215">
        <v>100000</v>
      </c>
      <c r="F30" s="242">
        <f t="shared" si="0"/>
        <v>175.37244723481493</v>
      </c>
      <c r="G30" s="215">
        <v>570.21500000000003</v>
      </c>
      <c r="H30" s="215" t="s">
        <v>205</v>
      </c>
      <c r="I30" s="215" t="s">
        <v>221</v>
      </c>
      <c r="J30" s="77" t="s">
        <v>100</v>
      </c>
      <c r="K30" s="215" t="s">
        <v>158</v>
      </c>
      <c r="L30" s="77" t="s">
        <v>159</v>
      </c>
      <c r="M30" s="284"/>
      <c r="N30" s="77"/>
      <c r="O30" s="77"/>
    </row>
    <row r="31" spans="1:15" ht="15.6" hidden="1" customHeight="1">
      <c r="A31" s="214">
        <v>45666</v>
      </c>
      <c r="B31" s="215" t="s">
        <v>222</v>
      </c>
      <c r="C31" s="215" t="s">
        <v>179</v>
      </c>
      <c r="D31" s="215" t="s">
        <v>123</v>
      </c>
      <c r="E31" s="215">
        <v>7000</v>
      </c>
      <c r="F31" s="242">
        <f t="shared" si="0"/>
        <v>12.276071306437045</v>
      </c>
      <c r="G31" s="215">
        <v>570.21500000000003</v>
      </c>
      <c r="H31" s="215" t="s">
        <v>223</v>
      </c>
      <c r="I31" s="215" t="s">
        <v>224</v>
      </c>
      <c r="J31" s="77" t="s">
        <v>100</v>
      </c>
      <c r="K31" s="215" t="s">
        <v>158</v>
      </c>
      <c r="L31" s="77" t="s">
        <v>159</v>
      </c>
      <c r="M31" s="284"/>
      <c r="N31" s="77"/>
      <c r="O31" s="77"/>
    </row>
    <row r="32" spans="1:15" ht="15.6" hidden="1" customHeight="1">
      <c r="A32" s="214">
        <v>45667</v>
      </c>
      <c r="B32" s="215" t="s">
        <v>225</v>
      </c>
      <c r="C32" s="215" t="s">
        <v>184</v>
      </c>
      <c r="D32" s="215" t="s">
        <v>120</v>
      </c>
      <c r="E32" s="215">
        <v>150000</v>
      </c>
      <c r="F32" s="242">
        <f t="shared" si="0"/>
        <v>263.05867085222241</v>
      </c>
      <c r="G32" s="215">
        <v>570.21500000000003</v>
      </c>
      <c r="H32" s="215" t="s">
        <v>209</v>
      </c>
      <c r="I32" s="215" t="s">
        <v>226</v>
      </c>
      <c r="J32" s="77" t="s">
        <v>100</v>
      </c>
      <c r="K32" s="215" t="s">
        <v>158</v>
      </c>
      <c r="L32" s="77" t="s">
        <v>159</v>
      </c>
      <c r="M32" s="284"/>
      <c r="N32" s="77"/>
      <c r="O32" s="77"/>
    </row>
    <row r="33" spans="1:15" ht="15.6" hidden="1" customHeight="1">
      <c r="A33" s="214">
        <v>45667</v>
      </c>
      <c r="B33" s="215" t="s">
        <v>228</v>
      </c>
      <c r="C33" s="215" t="s">
        <v>129</v>
      </c>
      <c r="D33" s="215" t="s">
        <v>121</v>
      </c>
      <c r="E33" s="215">
        <v>59466</v>
      </c>
      <c r="F33" s="242">
        <f t="shared" si="0"/>
        <v>104.28697947265505</v>
      </c>
      <c r="G33" s="215">
        <v>570.21500000000003</v>
      </c>
      <c r="H33" s="215" t="s">
        <v>201</v>
      </c>
      <c r="I33" s="215" t="s">
        <v>229</v>
      </c>
      <c r="J33" s="77" t="s">
        <v>100</v>
      </c>
      <c r="K33" s="215" t="s">
        <v>158</v>
      </c>
      <c r="L33" s="77" t="s">
        <v>159</v>
      </c>
      <c r="M33" s="284"/>
      <c r="N33" s="77"/>
      <c r="O33" s="77"/>
    </row>
    <row r="34" spans="1:15" ht="15.6" hidden="1" customHeight="1">
      <c r="A34" s="214">
        <v>45667</v>
      </c>
      <c r="B34" s="215" t="s">
        <v>230</v>
      </c>
      <c r="C34" s="215" t="s">
        <v>184</v>
      </c>
      <c r="D34" s="215" t="s">
        <v>123</v>
      </c>
      <c r="E34" s="215">
        <v>70000</v>
      </c>
      <c r="F34" s="242">
        <f t="shared" ref="F34:F65" si="1">+E34/G34</f>
        <v>122.76071306437045</v>
      </c>
      <c r="G34" s="215">
        <v>570.21500000000003</v>
      </c>
      <c r="H34" s="215" t="s">
        <v>223</v>
      </c>
      <c r="I34" s="215" t="s">
        <v>231</v>
      </c>
      <c r="J34" s="77" t="s">
        <v>100</v>
      </c>
      <c r="K34" s="215" t="s">
        <v>158</v>
      </c>
      <c r="L34" s="77" t="s">
        <v>159</v>
      </c>
      <c r="M34" s="284"/>
      <c r="N34" s="77"/>
      <c r="O34" s="77"/>
    </row>
    <row r="35" spans="1:15" ht="15.6" hidden="1" customHeight="1">
      <c r="A35" s="214">
        <v>45670</v>
      </c>
      <c r="B35" s="215" t="s">
        <v>232</v>
      </c>
      <c r="C35" s="215" t="s">
        <v>184</v>
      </c>
      <c r="D35" s="215" t="s">
        <v>208</v>
      </c>
      <c r="E35" s="215">
        <v>45000</v>
      </c>
      <c r="F35" s="242">
        <f t="shared" si="1"/>
        <v>78.917601255666725</v>
      </c>
      <c r="G35" s="215">
        <v>570.21500000000003</v>
      </c>
      <c r="H35" s="215" t="s">
        <v>209</v>
      </c>
      <c r="I35" s="215" t="s">
        <v>233</v>
      </c>
      <c r="J35" s="77" t="s">
        <v>100</v>
      </c>
      <c r="K35" s="215" t="s">
        <v>158</v>
      </c>
      <c r="L35" s="77" t="s">
        <v>159</v>
      </c>
      <c r="M35" s="284"/>
      <c r="N35" s="77"/>
      <c r="O35" s="77"/>
    </row>
    <row r="36" spans="1:15" ht="15.6" hidden="1" customHeight="1">
      <c r="A36" s="214">
        <v>45670</v>
      </c>
      <c r="B36" s="215" t="s">
        <v>234</v>
      </c>
      <c r="C36" s="215" t="s">
        <v>184</v>
      </c>
      <c r="D36" s="215" t="s">
        <v>124</v>
      </c>
      <c r="E36" s="215">
        <v>60000</v>
      </c>
      <c r="F36" s="242">
        <f t="shared" si="1"/>
        <v>105.22346834088896</v>
      </c>
      <c r="G36" s="215">
        <v>570.21500000000003</v>
      </c>
      <c r="H36" s="215" t="s">
        <v>192</v>
      </c>
      <c r="I36" s="215" t="s">
        <v>235</v>
      </c>
      <c r="J36" s="77" t="s">
        <v>100</v>
      </c>
      <c r="K36" s="215" t="s">
        <v>158</v>
      </c>
      <c r="L36" s="77" t="s">
        <v>159</v>
      </c>
      <c r="M36" s="284"/>
      <c r="N36" s="77"/>
      <c r="O36" s="77"/>
    </row>
    <row r="37" spans="1:15" ht="15.6" hidden="1" customHeight="1">
      <c r="A37" s="214">
        <v>45670</v>
      </c>
      <c r="B37" s="215" t="s">
        <v>200</v>
      </c>
      <c r="C37" s="215" t="s">
        <v>1539</v>
      </c>
      <c r="D37" s="215" t="s">
        <v>121</v>
      </c>
      <c r="E37" s="215">
        <v>1000</v>
      </c>
      <c r="F37" s="242">
        <f t="shared" si="1"/>
        <v>1.7537244723481493</v>
      </c>
      <c r="G37" s="215">
        <v>570.21500000000003</v>
      </c>
      <c r="H37" s="215" t="s">
        <v>201</v>
      </c>
      <c r="I37" s="215" t="s">
        <v>236</v>
      </c>
      <c r="J37" s="77" t="s">
        <v>100</v>
      </c>
      <c r="K37" s="215" t="s">
        <v>158</v>
      </c>
      <c r="L37" s="77" t="s">
        <v>159</v>
      </c>
      <c r="M37" s="284"/>
      <c r="N37" s="77"/>
      <c r="O37" s="77"/>
    </row>
    <row r="38" spans="1:15" ht="15.6" hidden="1" customHeight="1">
      <c r="A38" s="214">
        <v>45671</v>
      </c>
      <c r="B38" s="215" t="s">
        <v>557</v>
      </c>
      <c r="C38" s="215" t="s">
        <v>184</v>
      </c>
      <c r="D38" s="215" t="s">
        <v>122</v>
      </c>
      <c r="E38" s="215">
        <v>245000</v>
      </c>
      <c r="F38" s="242">
        <f t="shared" si="1"/>
        <v>429.66249572529659</v>
      </c>
      <c r="G38" s="215">
        <v>570.21500000000003</v>
      </c>
      <c r="H38" s="215" t="s">
        <v>198</v>
      </c>
      <c r="I38" s="215" t="s">
        <v>227</v>
      </c>
      <c r="J38" s="77" t="s">
        <v>100</v>
      </c>
      <c r="K38" s="215" t="s">
        <v>158</v>
      </c>
      <c r="L38" s="77" t="s">
        <v>159</v>
      </c>
      <c r="M38" s="284"/>
      <c r="N38" s="77"/>
      <c r="O38" s="77"/>
    </row>
    <row r="39" spans="1:15" ht="15.6" hidden="1" customHeight="1">
      <c r="A39" s="214">
        <v>45671</v>
      </c>
      <c r="B39" s="215" t="s">
        <v>237</v>
      </c>
      <c r="C39" s="215" t="s">
        <v>1539</v>
      </c>
      <c r="D39" s="215" t="s">
        <v>121</v>
      </c>
      <c r="E39" s="215">
        <v>8100</v>
      </c>
      <c r="F39" s="242">
        <f t="shared" si="1"/>
        <v>14.205168226020009</v>
      </c>
      <c r="G39" s="215">
        <v>570.21500000000003</v>
      </c>
      <c r="H39" s="215" t="s">
        <v>201</v>
      </c>
      <c r="I39" s="215" t="s">
        <v>238</v>
      </c>
      <c r="J39" s="77" t="s">
        <v>100</v>
      </c>
      <c r="K39" s="215" t="s">
        <v>158</v>
      </c>
      <c r="L39" s="77" t="s">
        <v>159</v>
      </c>
      <c r="M39" s="284"/>
      <c r="N39" s="77"/>
      <c r="O39" s="77"/>
    </row>
    <row r="40" spans="1:15" ht="15.6" hidden="1" customHeight="1">
      <c r="A40" s="214">
        <v>45672</v>
      </c>
      <c r="B40" s="215" t="s">
        <v>239</v>
      </c>
      <c r="C40" s="215" t="s">
        <v>184</v>
      </c>
      <c r="D40" s="215" t="s">
        <v>208</v>
      </c>
      <c r="E40" s="215">
        <v>9750</v>
      </c>
      <c r="F40" s="242">
        <f t="shared" si="1"/>
        <v>17.098813605394454</v>
      </c>
      <c r="G40" s="215">
        <v>570.21500000000003</v>
      </c>
      <c r="H40" s="215" t="s">
        <v>209</v>
      </c>
      <c r="I40" s="215" t="s">
        <v>240</v>
      </c>
      <c r="J40" s="77" t="s">
        <v>100</v>
      </c>
      <c r="K40" s="215" t="s">
        <v>158</v>
      </c>
      <c r="L40" s="77" t="s">
        <v>159</v>
      </c>
      <c r="M40" s="284"/>
      <c r="N40" s="77"/>
      <c r="O40" s="77"/>
    </row>
    <row r="41" spans="1:15" ht="15.6" hidden="1" customHeight="1">
      <c r="A41" s="214">
        <v>45672</v>
      </c>
      <c r="B41" s="215" t="s">
        <v>241</v>
      </c>
      <c r="C41" s="215" t="s">
        <v>155</v>
      </c>
      <c r="D41" s="215" t="s">
        <v>122</v>
      </c>
      <c r="E41" s="215">
        <v>31000</v>
      </c>
      <c r="F41" s="242">
        <f t="shared" si="1"/>
        <v>54.365458642792625</v>
      </c>
      <c r="G41" s="215">
        <v>570.21500000000003</v>
      </c>
      <c r="H41" s="215" t="s">
        <v>161</v>
      </c>
      <c r="I41" s="215" t="s">
        <v>242</v>
      </c>
      <c r="J41" s="77" t="s">
        <v>100</v>
      </c>
      <c r="K41" s="215" t="s">
        <v>158</v>
      </c>
      <c r="L41" s="77" t="s">
        <v>159</v>
      </c>
      <c r="M41" s="284"/>
      <c r="N41" s="77"/>
      <c r="O41" s="77"/>
    </row>
    <row r="42" spans="1:15" ht="15.6" hidden="1" customHeight="1">
      <c r="A42" s="214">
        <v>45672</v>
      </c>
      <c r="B42" s="215" t="s">
        <v>243</v>
      </c>
      <c r="C42" s="215" t="s">
        <v>155</v>
      </c>
      <c r="D42" s="215" t="s">
        <v>120</v>
      </c>
      <c r="E42" s="215">
        <v>35000</v>
      </c>
      <c r="F42" s="242">
        <f t="shared" si="1"/>
        <v>61.380356532185225</v>
      </c>
      <c r="G42" s="215">
        <v>570.21500000000003</v>
      </c>
      <c r="H42" s="215" t="s">
        <v>161</v>
      </c>
      <c r="I42" s="215" t="s">
        <v>244</v>
      </c>
      <c r="J42" s="77" t="s">
        <v>100</v>
      </c>
      <c r="K42" s="215" t="s">
        <v>158</v>
      </c>
      <c r="L42" s="77" t="s">
        <v>159</v>
      </c>
      <c r="M42" s="284"/>
      <c r="N42" s="77"/>
      <c r="O42" s="77"/>
    </row>
    <row r="43" spans="1:15" ht="15.6" hidden="1" customHeight="1">
      <c r="A43" s="214">
        <v>45672</v>
      </c>
      <c r="B43" s="215" t="s">
        <v>245</v>
      </c>
      <c r="C43" s="215" t="s">
        <v>155</v>
      </c>
      <c r="D43" s="215" t="s">
        <v>124</v>
      </c>
      <c r="E43" s="215">
        <v>50000</v>
      </c>
      <c r="F43" s="242">
        <f t="shared" si="1"/>
        <v>87.686223617407464</v>
      </c>
      <c r="G43" s="215">
        <v>570.21500000000003</v>
      </c>
      <c r="H43" s="215" t="s">
        <v>161</v>
      </c>
      <c r="I43" s="215" t="s">
        <v>246</v>
      </c>
      <c r="J43" s="77" t="s">
        <v>100</v>
      </c>
      <c r="K43" s="215" t="s">
        <v>158</v>
      </c>
      <c r="L43" s="77" t="s">
        <v>159</v>
      </c>
      <c r="M43" s="284"/>
      <c r="N43" s="77"/>
      <c r="O43" s="77"/>
    </row>
    <row r="44" spans="1:15" ht="15.6" hidden="1" customHeight="1">
      <c r="A44" s="214">
        <v>45672</v>
      </c>
      <c r="B44" s="215" t="s">
        <v>247</v>
      </c>
      <c r="C44" s="215" t="s">
        <v>155</v>
      </c>
      <c r="D44" s="215" t="s">
        <v>123</v>
      </c>
      <c r="E44" s="215">
        <v>10000</v>
      </c>
      <c r="F44" s="242">
        <f t="shared" si="1"/>
        <v>17.537244723481493</v>
      </c>
      <c r="G44" s="215">
        <v>570.21500000000003</v>
      </c>
      <c r="H44" s="215" t="s">
        <v>161</v>
      </c>
      <c r="I44" s="215" t="s">
        <v>248</v>
      </c>
      <c r="J44" s="77" t="s">
        <v>100</v>
      </c>
      <c r="K44" s="215" t="s">
        <v>158</v>
      </c>
      <c r="L44" s="77" t="s">
        <v>159</v>
      </c>
      <c r="M44" s="284"/>
      <c r="N44" s="77"/>
      <c r="O44" s="77"/>
    </row>
    <row r="45" spans="1:15" ht="15.6" hidden="1" customHeight="1">
      <c r="A45" s="214">
        <v>45672</v>
      </c>
      <c r="B45" s="215" t="s">
        <v>249</v>
      </c>
      <c r="C45" s="215" t="s">
        <v>155</v>
      </c>
      <c r="D45" s="215" t="s">
        <v>120</v>
      </c>
      <c r="E45" s="215">
        <v>10000</v>
      </c>
      <c r="F45" s="242">
        <f t="shared" si="1"/>
        <v>17.537244723481493</v>
      </c>
      <c r="G45" s="215">
        <v>570.21500000000003</v>
      </c>
      <c r="H45" s="215" t="s">
        <v>161</v>
      </c>
      <c r="I45" s="215" t="s">
        <v>250</v>
      </c>
      <c r="J45" s="77" t="s">
        <v>100</v>
      </c>
      <c r="K45" s="215" t="s">
        <v>158</v>
      </c>
      <c r="L45" s="77" t="s">
        <v>159</v>
      </c>
      <c r="M45" s="284"/>
      <c r="N45" s="77"/>
      <c r="O45" s="77"/>
    </row>
    <row r="46" spans="1:15" ht="15.6" hidden="1" customHeight="1">
      <c r="A46" s="214">
        <v>45672</v>
      </c>
      <c r="B46" s="215" t="s">
        <v>251</v>
      </c>
      <c r="C46" s="215" t="s">
        <v>155</v>
      </c>
      <c r="D46" s="215" t="s">
        <v>124</v>
      </c>
      <c r="E46" s="215">
        <v>5000</v>
      </c>
      <c r="F46" s="242">
        <f t="shared" si="1"/>
        <v>8.7686223617407464</v>
      </c>
      <c r="G46" s="215">
        <v>570.21500000000003</v>
      </c>
      <c r="H46" s="215" t="s">
        <v>161</v>
      </c>
      <c r="I46" s="215" t="s">
        <v>252</v>
      </c>
      <c r="J46" s="77" t="s">
        <v>100</v>
      </c>
      <c r="K46" s="215" t="s">
        <v>158</v>
      </c>
      <c r="L46" s="77" t="s">
        <v>159</v>
      </c>
      <c r="M46" s="284"/>
      <c r="N46" s="77"/>
      <c r="O46" s="77"/>
    </row>
    <row r="47" spans="1:15" ht="15.6" hidden="1" customHeight="1">
      <c r="A47" s="214">
        <v>45672</v>
      </c>
      <c r="B47" s="215" t="s">
        <v>253</v>
      </c>
      <c r="C47" s="215" t="s">
        <v>179</v>
      </c>
      <c r="D47" s="215" t="s">
        <v>124</v>
      </c>
      <c r="E47" s="215">
        <v>50000</v>
      </c>
      <c r="F47" s="242">
        <f t="shared" si="1"/>
        <v>87.686223617407464</v>
      </c>
      <c r="G47" s="215">
        <v>570.21500000000003</v>
      </c>
      <c r="H47" s="215" t="s">
        <v>192</v>
      </c>
      <c r="I47" s="215" t="s">
        <v>254</v>
      </c>
      <c r="J47" s="77" t="s">
        <v>100</v>
      </c>
      <c r="K47" s="215" t="s">
        <v>158</v>
      </c>
      <c r="L47" s="77" t="s">
        <v>159</v>
      </c>
      <c r="M47" s="284"/>
      <c r="N47" s="77"/>
      <c r="O47" s="77"/>
    </row>
    <row r="48" spans="1:15" ht="15.6" hidden="1" customHeight="1">
      <c r="A48" s="214">
        <v>45672</v>
      </c>
      <c r="B48" s="215" t="s">
        <v>255</v>
      </c>
      <c r="C48" s="215" t="s">
        <v>184</v>
      </c>
      <c r="D48" s="215" t="s">
        <v>180</v>
      </c>
      <c r="E48" s="215">
        <v>120000</v>
      </c>
      <c r="F48" s="242">
        <f t="shared" si="1"/>
        <v>210.44693668177791</v>
      </c>
      <c r="G48" s="215">
        <v>570.21500000000003</v>
      </c>
      <c r="H48" s="215" t="s">
        <v>181</v>
      </c>
      <c r="I48" s="215" t="s">
        <v>256</v>
      </c>
      <c r="J48" s="77" t="s">
        <v>100</v>
      </c>
      <c r="K48" s="215" t="s">
        <v>158</v>
      </c>
      <c r="L48" s="77" t="s">
        <v>159</v>
      </c>
      <c r="M48" s="284"/>
      <c r="N48" s="77"/>
      <c r="O48" s="77"/>
    </row>
    <row r="49" spans="1:15" ht="15.6" hidden="1" customHeight="1">
      <c r="A49" s="214">
        <v>45672</v>
      </c>
      <c r="B49" s="215" t="s">
        <v>257</v>
      </c>
      <c r="C49" s="215" t="s">
        <v>179</v>
      </c>
      <c r="D49" s="215" t="s">
        <v>208</v>
      </c>
      <c r="E49" s="215">
        <v>8500</v>
      </c>
      <c r="F49" s="242">
        <f t="shared" si="1"/>
        <v>14.90665801495927</v>
      </c>
      <c r="G49" s="215">
        <v>570.21500000000003</v>
      </c>
      <c r="H49" s="215" t="s">
        <v>195</v>
      </c>
      <c r="I49" s="215" t="s">
        <v>258</v>
      </c>
      <c r="J49" s="77" t="s">
        <v>100</v>
      </c>
      <c r="K49" s="215" t="s">
        <v>158</v>
      </c>
      <c r="L49" s="77" t="s">
        <v>159</v>
      </c>
      <c r="M49" s="284"/>
      <c r="N49" s="77"/>
      <c r="O49" s="77"/>
    </row>
    <row r="50" spans="1:15" ht="15.6" hidden="1" customHeight="1">
      <c r="A50" s="214">
        <v>45672</v>
      </c>
      <c r="B50" s="215" t="s">
        <v>257</v>
      </c>
      <c r="C50" s="215" t="s">
        <v>179</v>
      </c>
      <c r="D50" s="215" t="s">
        <v>208</v>
      </c>
      <c r="E50" s="215">
        <v>8500</v>
      </c>
      <c r="F50" s="242">
        <f t="shared" si="1"/>
        <v>14.90665801495927</v>
      </c>
      <c r="G50" s="215">
        <v>570.21500000000003</v>
      </c>
      <c r="H50" s="215" t="s">
        <v>195</v>
      </c>
      <c r="I50" s="215" t="s">
        <v>259</v>
      </c>
      <c r="J50" s="77" t="s">
        <v>100</v>
      </c>
      <c r="K50" s="215" t="s">
        <v>158</v>
      </c>
      <c r="L50" s="77" t="s">
        <v>159</v>
      </c>
      <c r="M50" s="284"/>
      <c r="N50" s="77"/>
      <c r="O50" s="77"/>
    </row>
    <row r="51" spans="1:15" ht="15.6" hidden="1" customHeight="1">
      <c r="A51" s="214">
        <v>45672</v>
      </c>
      <c r="B51" s="215" t="s">
        <v>260</v>
      </c>
      <c r="C51" s="215" t="s">
        <v>184</v>
      </c>
      <c r="D51" s="215" t="s">
        <v>208</v>
      </c>
      <c r="E51" s="215">
        <v>10100</v>
      </c>
      <c r="F51" s="242">
        <f t="shared" si="1"/>
        <v>17.712617170716307</v>
      </c>
      <c r="G51" s="215">
        <v>570.21500000000003</v>
      </c>
      <c r="H51" s="215" t="s">
        <v>195</v>
      </c>
      <c r="I51" s="215" t="s">
        <v>261</v>
      </c>
      <c r="J51" s="77" t="s">
        <v>100</v>
      </c>
      <c r="K51" s="215" t="s">
        <v>158</v>
      </c>
      <c r="L51" s="77" t="s">
        <v>159</v>
      </c>
      <c r="M51" s="284"/>
      <c r="N51" s="77"/>
      <c r="O51" s="77"/>
    </row>
    <row r="52" spans="1:15" ht="15.6" hidden="1" customHeight="1">
      <c r="A52" s="214">
        <v>45672</v>
      </c>
      <c r="B52" s="215" t="s">
        <v>262</v>
      </c>
      <c r="C52" s="215" t="s">
        <v>184</v>
      </c>
      <c r="D52" s="215" t="s">
        <v>120</v>
      </c>
      <c r="E52" s="215">
        <v>90000</v>
      </c>
      <c r="F52" s="242">
        <f t="shared" si="1"/>
        <v>157.83520251133345</v>
      </c>
      <c r="G52" s="215">
        <v>570.21500000000003</v>
      </c>
      <c r="H52" s="215" t="s">
        <v>198</v>
      </c>
      <c r="I52" s="215" t="s">
        <v>263</v>
      </c>
      <c r="J52" s="77" t="s">
        <v>100</v>
      </c>
      <c r="K52" s="215" t="s">
        <v>158</v>
      </c>
      <c r="L52" s="77" t="s">
        <v>159</v>
      </c>
      <c r="M52" s="284"/>
      <c r="N52" s="77"/>
      <c r="O52" s="77"/>
    </row>
    <row r="53" spans="1:15" ht="15.6" hidden="1" customHeight="1">
      <c r="A53" s="214">
        <v>45672</v>
      </c>
      <c r="B53" s="215" t="s">
        <v>264</v>
      </c>
      <c r="C53" s="215" t="s">
        <v>184</v>
      </c>
      <c r="D53" s="215" t="s">
        <v>208</v>
      </c>
      <c r="E53" s="215">
        <v>9600</v>
      </c>
      <c r="F53" s="242">
        <f t="shared" si="1"/>
        <v>16.835754934542233</v>
      </c>
      <c r="G53" s="215">
        <v>570.21500000000003</v>
      </c>
      <c r="H53" s="215" t="s">
        <v>198</v>
      </c>
      <c r="I53" s="215" t="s">
        <v>265</v>
      </c>
      <c r="J53" s="77" t="s">
        <v>100</v>
      </c>
      <c r="K53" s="215" t="s">
        <v>158</v>
      </c>
      <c r="L53" s="77" t="s">
        <v>159</v>
      </c>
      <c r="M53" s="284"/>
      <c r="N53" s="77"/>
      <c r="O53" s="77"/>
    </row>
    <row r="54" spans="1:15" ht="15.6" hidden="1" customHeight="1">
      <c r="A54" s="214">
        <v>45672</v>
      </c>
      <c r="B54" s="215" t="s">
        <v>266</v>
      </c>
      <c r="C54" s="215" t="s">
        <v>179</v>
      </c>
      <c r="D54" s="215" t="s">
        <v>120</v>
      </c>
      <c r="E54" s="215">
        <v>8000</v>
      </c>
      <c r="F54" s="242">
        <f t="shared" si="1"/>
        <v>14.029795778785195</v>
      </c>
      <c r="G54" s="215">
        <v>570.21500000000003</v>
      </c>
      <c r="H54" s="215" t="s">
        <v>201</v>
      </c>
      <c r="I54" s="215" t="s">
        <v>267</v>
      </c>
      <c r="J54" s="77" t="s">
        <v>100</v>
      </c>
      <c r="K54" s="215" t="s">
        <v>158</v>
      </c>
      <c r="L54" s="77" t="s">
        <v>159</v>
      </c>
      <c r="M54" s="284"/>
      <c r="N54" s="77"/>
      <c r="O54" s="77"/>
    </row>
    <row r="55" spans="1:15" ht="15.6" hidden="1" customHeight="1">
      <c r="A55" s="214">
        <v>45672</v>
      </c>
      <c r="B55" s="215" t="s">
        <v>268</v>
      </c>
      <c r="C55" s="215" t="s">
        <v>269</v>
      </c>
      <c r="D55" s="215" t="s">
        <v>120</v>
      </c>
      <c r="E55" s="215">
        <v>72000</v>
      </c>
      <c r="F55" s="242">
        <f t="shared" si="1"/>
        <v>126.26816200906674</v>
      </c>
      <c r="G55" s="215">
        <v>570.21500000000003</v>
      </c>
      <c r="H55" s="215" t="s">
        <v>201</v>
      </c>
      <c r="I55" s="215" t="s">
        <v>270</v>
      </c>
      <c r="J55" s="77" t="s">
        <v>100</v>
      </c>
      <c r="K55" s="215" t="s">
        <v>158</v>
      </c>
      <c r="L55" s="77" t="s">
        <v>159</v>
      </c>
      <c r="M55" s="284"/>
      <c r="N55" s="77"/>
      <c r="O55" s="77"/>
    </row>
    <row r="56" spans="1:15" ht="15.6" hidden="1" customHeight="1">
      <c r="A56" s="214">
        <v>45672</v>
      </c>
      <c r="B56" s="215" t="s">
        <v>271</v>
      </c>
      <c r="C56" s="215" t="s">
        <v>204</v>
      </c>
      <c r="D56" s="215" t="s">
        <v>208</v>
      </c>
      <c r="E56" s="215">
        <v>25000</v>
      </c>
      <c r="F56" s="242">
        <f t="shared" si="1"/>
        <v>43.843111808703732</v>
      </c>
      <c r="G56" s="215">
        <v>570.21500000000003</v>
      </c>
      <c r="H56" s="215" t="s">
        <v>205</v>
      </c>
      <c r="I56" s="215" t="s">
        <v>272</v>
      </c>
      <c r="J56" s="77" t="s">
        <v>100</v>
      </c>
      <c r="K56" s="215" t="s">
        <v>158</v>
      </c>
      <c r="L56" s="77" t="s">
        <v>159</v>
      </c>
      <c r="M56" s="284"/>
      <c r="N56" s="77"/>
      <c r="O56" s="77"/>
    </row>
    <row r="57" spans="1:15" ht="15.6" hidden="1" customHeight="1">
      <c r="A57" s="214">
        <v>45672</v>
      </c>
      <c r="B57" s="215" t="s">
        <v>273</v>
      </c>
      <c r="C57" s="215" t="s">
        <v>184</v>
      </c>
      <c r="D57" s="215" t="s">
        <v>208</v>
      </c>
      <c r="E57" s="215">
        <v>19600</v>
      </c>
      <c r="F57" s="242">
        <f t="shared" si="1"/>
        <v>34.372999658023723</v>
      </c>
      <c r="G57" s="215">
        <v>570.21500000000003</v>
      </c>
      <c r="H57" s="215" t="s">
        <v>205</v>
      </c>
      <c r="I57" s="215" t="s">
        <v>274</v>
      </c>
      <c r="J57" s="77" t="s">
        <v>100</v>
      </c>
      <c r="K57" s="215" t="s">
        <v>158</v>
      </c>
      <c r="L57" s="77" t="s">
        <v>159</v>
      </c>
      <c r="M57" s="284"/>
      <c r="N57" s="77"/>
      <c r="O57" s="77"/>
    </row>
    <row r="58" spans="1:15" ht="15.6" hidden="1" customHeight="1">
      <c r="A58" s="214">
        <v>45672</v>
      </c>
      <c r="B58" s="215" t="s">
        <v>275</v>
      </c>
      <c r="C58" s="215" t="s">
        <v>184</v>
      </c>
      <c r="D58" s="215" t="s">
        <v>208</v>
      </c>
      <c r="E58" s="215">
        <v>9700</v>
      </c>
      <c r="F58" s="242">
        <f t="shared" si="1"/>
        <v>17.011127381777047</v>
      </c>
      <c r="G58" s="215">
        <v>570.21500000000003</v>
      </c>
      <c r="H58" s="215" t="s">
        <v>223</v>
      </c>
      <c r="I58" s="215" t="s">
        <v>276</v>
      </c>
      <c r="J58" s="77" t="s">
        <v>100</v>
      </c>
      <c r="K58" s="215" t="s">
        <v>158</v>
      </c>
      <c r="L58" s="77" t="s">
        <v>159</v>
      </c>
      <c r="M58" s="284"/>
      <c r="N58" s="77"/>
      <c r="O58" s="77"/>
    </row>
    <row r="59" spans="1:15" ht="15.6" hidden="1" customHeight="1">
      <c r="A59" s="214">
        <v>45673</v>
      </c>
      <c r="B59" s="215" t="s">
        <v>277</v>
      </c>
      <c r="C59" s="215" t="s">
        <v>278</v>
      </c>
      <c r="D59" s="215" t="s">
        <v>208</v>
      </c>
      <c r="E59" s="215">
        <v>160000</v>
      </c>
      <c r="F59" s="242">
        <f t="shared" si="1"/>
        <v>280.59591557570388</v>
      </c>
      <c r="G59" s="215">
        <v>570.21500000000003</v>
      </c>
      <c r="H59" s="215" t="s">
        <v>209</v>
      </c>
      <c r="I59" s="215" t="s">
        <v>279</v>
      </c>
      <c r="J59" s="77" t="s">
        <v>100</v>
      </c>
      <c r="K59" s="215" t="s">
        <v>158</v>
      </c>
      <c r="L59" s="77" t="s">
        <v>159</v>
      </c>
      <c r="M59" s="284"/>
      <c r="N59" s="77"/>
      <c r="O59" s="77"/>
    </row>
    <row r="60" spans="1:15" ht="15.6" hidden="1" customHeight="1">
      <c r="A60" s="214">
        <v>45673</v>
      </c>
      <c r="B60" s="215" t="s">
        <v>280</v>
      </c>
      <c r="C60" s="215" t="s">
        <v>278</v>
      </c>
      <c r="D60" s="215" t="s">
        <v>208</v>
      </c>
      <c r="E60" s="215">
        <v>20000</v>
      </c>
      <c r="F60" s="242">
        <f t="shared" si="1"/>
        <v>35.074489446962986</v>
      </c>
      <c r="G60" s="215">
        <v>570.21500000000003</v>
      </c>
      <c r="H60" s="215" t="s">
        <v>209</v>
      </c>
      <c r="I60" s="215" t="s">
        <v>281</v>
      </c>
      <c r="J60" s="77" t="s">
        <v>100</v>
      </c>
      <c r="K60" s="215" t="s">
        <v>158</v>
      </c>
      <c r="L60" s="77" t="s">
        <v>159</v>
      </c>
      <c r="M60" s="284"/>
      <c r="N60" s="77"/>
      <c r="O60" s="77"/>
    </row>
    <row r="61" spans="1:15" ht="15.6" hidden="1" customHeight="1">
      <c r="A61" s="214">
        <v>45673</v>
      </c>
      <c r="B61" s="215" t="s">
        <v>282</v>
      </c>
      <c r="C61" s="215" t="s">
        <v>1539</v>
      </c>
      <c r="D61" s="215" t="s">
        <v>121</v>
      </c>
      <c r="E61" s="215">
        <v>6055</v>
      </c>
      <c r="F61" s="242">
        <f t="shared" si="1"/>
        <v>10.618801680068044</v>
      </c>
      <c r="G61" s="215">
        <v>570.21500000000003</v>
      </c>
      <c r="H61" s="215" t="s">
        <v>161</v>
      </c>
      <c r="I61" s="215" t="s">
        <v>283</v>
      </c>
      <c r="J61" s="77" t="s">
        <v>100</v>
      </c>
      <c r="K61" s="215" t="s">
        <v>158</v>
      </c>
      <c r="L61" s="77" t="s">
        <v>159</v>
      </c>
      <c r="M61" s="284"/>
      <c r="N61" s="77"/>
      <c r="O61" s="77"/>
    </row>
    <row r="62" spans="1:15" ht="15.6" hidden="1" customHeight="1">
      <c r="A62" s="214">
        <v>45673</v>
      </c>
      <c r="B62" s="215" t="s">
        <v>284</v>
      </c>
      <c r="C62" s="215" t="s">
        <v>179</v>
      </c>
      <c r="D62" s="215" t="s">
        <v>120</v>
      </c>
      <c r="E62" s="215">
        <v>7000</v>
      </c>
      <c r="F62" s="242">
        <f t="shared" si="1"/>
        <v>12.276071306437045</v>
      </c>
      <c r="G62" s="215">
        <v>570.21500000000003</v>
      </c>
      <c r="H62" s="215" t="s">
        <v>198</v>
      </c>
      <c r="I62" s="215" t="s">
        <v>285</v>
      </c>
      <c r="J62" s="77" t="s">
        <v>100</v>
      </c>
      <c r="K62" s="215" t="s">
        <v>158</v>
      </c>
      <c r="L62" s="77" t="s">
        <v>159</v>
      </c>
      <c r="M62" s="284"/>
      <c r="N62" s="77"/>
      <c r="O62" s="77"/>
    </row>
    <row r="63" spans="1:15" ht="15.6" hidden="1" customHeight="1">
      <c r="A63" s="214">
        <v>45673</v>
      </c>
      <c r="B63" s="215" t="s">
        <v>286</v>
      </c>
      <c r="C63" s="215" t="s">
        <v>184</v>
      </c>
      <c r="D63" s="215" t="s">
        <v>120</v>
      </c>
      <c r="E63" s="215">
        <v>20000</v>
      </c>
      <c r="F63" s="242">
        <f t="shared" si="1"/>
        <v>35.074489446962986</v>
      </c>
      <c r="G63" s="215">
        <v>570.21500000000003</v>
      </c>
      <c r="H63" s="215" t="s">
        <v>201</v>
      </c>
      <c r="I63" s="215" t="s">
        <v>287</v>
      </c>
      <c r="J63" s="77" t="s">
        <v>100</v>
      </c>
      <c r="K63" s="215" t="s">
        <v>158</v>
      </c>
      <c r="L63" s="77" t="s">
        <v>159</v>
      </c>
      <c r="M63" s="284"/>
      <c r="N63" s="77"/>
      <c r="O63" s="77"/>
    </row>
    <row r="64" spans="1:15" ht="15.6" hidden="1" customHeight="1">
      <c r="A64" s="214">
        <v>45673</v>
      </c>
      <c r="B64" s="215" t="s">
        <v>288</v>
      </c>
      <c r="C64" s="215" t="s">
        <v>179</v>
      </c>
      <c r="D64" s="215" t="s">
        <v>123</v>
      </c>
      <c r="E64" s="215">
        <v>7000</v>
      </c>
      <c r="F64" s="242">
        <f t="shared" si="1"/>
        <v>12.276071306437045</v>
      </c>
      <c r="G64" s="215">
        <v>570.21500000000003</v>
      </c>
      <c r="H64" s="215" t="s">
        <v>223</v>
      </c>
      <c r="I64" s="215" t="s">
        <v>289</v>
      </c>
      <c r="J64" s="77" t="s">
        <v>100</v>
      </c>
      <c r="K64" s="215" t="s">
        <v>158</v>
      </c>
      <c r="L64" s="77" t="s">
        <v>159</v>
      </c>
      <c r="M64" s="284"/>
      <c r="N64" s="77"/>
      <c r="O64" s="77"/>
    </row>
    <row r="65" spans="1:15" ht="15.6" hidden="1" customHeight="1">
      <c r="A65" s="214">
        <v>45674</v>
      </c>
      <c r="B65" s="215" t="s">
        <v>290</v>
      </c>
      <c r="C65" s="215" t="s">
        <v>1539</v>
      </c>
      <c r="D65" s="215" t="s">
        <v>121</v>
      </c>
      <c r="E65" s="239">
        <v>6720</v>
      </c>
      <c r="F65" s="242">
        <f t="shared" si="1"/>
        <v>11.785028454179564</v>
      </c>
      <c r="G65" s="215">
        <v>570.21500000000003</v>
      </c>
      <c r="H65" s="215" t="s">
        <v>161</v>
      </c>
      <c r="I65" s="215" t="s">
        <v>291</v>
      </c>
      <c r="J65" s="77" t="s">
        <v>100</v>
      </c>
      <c r="K65" s="215" t="s">
        <v>158</v>
      </c>
      <c r="L65" s="77" t="s">
        <v>159</v>
      </c>
      <c r="M65" s="284"/>
      <c r="N65" s="77"/>
      <c r="O65" s="77"/>
    </row>
    <row r="66" spans="1:15" ht="15.6" hidden="1" customHeight="1">
      <c r="A66" s="214">
        <v>45674</v>
      </c>
      <c r="B66" s="215" t="s">
        <v>292</v>
      </c>
      <c r="C66" s="215" t="s">
        <v>269</v>
      </c>
      <c r="D66" s="215" t="s">
        <v>120</v>
      </c>
      <c r="E66" s="215">
        <v>176000</v>
      </c>
      <c r="F66" s="242">
        <f t="shared" ref="F66:F76" si="2">+E66/G66</f>
        <v>308.65550713327428</v>
      </c>
      <c r="G66" s="215">
        <v>570.21500000000003</v>
      </c>
      <c r="H66" s="215" t="s">
        <v>161</v>
      </c>
      <c r="I66" s="215" t="s">
        <v>293</v>
      </c>
      <c r="J66" s="77" t="s">
        <v>100</v>
      </c>
      <c r="K66" s="215" t="s">
        <v>158</v>
      </c>
      <c r="L66" s="77" t="s">
        <v>159</v>
      </c>
      <c r="M66" s="284"/>
      <c r="N66" s="77"/>
      <c r="O66" s="77"/>
    </row>
    <row r="67" spans="1:15" ht="15.6" hidden="1" customHeight="1">
      <c r="A67" s="214">
        <v>45674</v>
      </c>
      <c r="B67" s="215" t="s">
        <v>294</v>
      </c>
      <c r="C67" s="215" t="s">
        <v>184</v>
      </c>
      <c r="D67" s="215" t="s">
        <v>124</v>
      </c>
      <c r="E67" s="215">
        <v>100000</v>
      </c>
      <c r="F67" s="242">
        <f t="shared" si="2"/>
        <v>175.37244723481493</v>
      </c>
      <c r="G67" s="215">
        <v>570.21500000000003</v>
      </c>
      <c r="H67" s="215" t="s">
        <v>192</v>
      </c>
      <c r="I67" s="215" t="s">
        <v>295</v>
      </c>
      <c r="J67" s="77" t="s">
        <v>100</v>
      </c>
      <c r="K67" s="215" t="s">
        <v>158</v>
      </c>
      <c r="L67" s="77" t="s">
        <v>159</v>
      </c>
      <c r="M67" s="284"/>
      <c r="N67" s="77"/>
      <c r="O67" s="77"/>
    </row>
    <row r="68" spans="1:15" ht="15.6" hidden="1" customHeight="1">
      <c r="A68" s="214">
        <v>45674</v>
      </c>
      <c r="B68" s="215" t="s">
        <v>296</v>
      </c>
      <c r="C68" s="215" t="s">
        <v>184</v>
      </c>
      <c r="D68" s="215" t="s">
        <v>124</v>
      </c>
      <c r="E68" s="215">
        <v>100000</v>
      </c>
      <c r="F68" s="242">
        <f t="shared" si="2"/>
        <v>175.37244723481493</v>
      </c>
      <c r="G68" s="215">
        <v>570.21500000000003</v>
      </c>
      <c r="H68" s="215" t="s">
        <v>192</v>
      </c>
      <c r="I68" s="215" t="s">
        <v>297</v>
      </c>
      <c r="J68" s="77" t="s">
        <v>100</v>
      </c>
      <c r="K68" s="215" t="s">
        <v>158</v>
      </c>
      <c r="L68" s="77" t="s">
        <v>159</v>
      </c>
      <c r="M68" s="284"/>
      <c r="N68" s="77"/>
      <c r="O68" s="77"/>
    </row>
    <row r="69" spans="1:15" ht="15.6" hidden="1" customHeight="1">
      <c r="A69" s="214">
        <v>45674</v>
      </c>
      <c r="B69" s="215" t="s">
        <v>298</v>
      </c>
      <c r="C69" s="215" t="s">
        <v>179</v>
      </c>
      <c r="D69" s="215" t="s">
        <v>124</v>
      </c>
      <c r="E69" s="215">
        <v>7000</v>
      </c>
      <c r="F69" s="242">
        <f t="shared" si="2"/>
        <v>12.276071306437045</v>
      </c>
      <c r="G69" s="215">
        <v>570.21500000000003</v>
      </c>
      <c r="H69" s="215" t="s">
        <v>192</v>
      </c>
      <c r="I69" s="215" t="s">
        <v>299</v>
      </c>
      <c r="J69" s="77" t="s">
        <v>100</v>
      </c>
      <c r="K69" s="215" t="s">
        <v>158</v>
      </c>
      <c r="L69" s="77" t="s">
        <v>159</v>
      </c>
      <c r="M69" s="284"/>
      <c r="N69" s="77"/>
      <c r="O69" s="77"/>
    </row>
    <row r="70" spans="1:15" ht="15.6" hidden="1" customHeight="1">
      <c r="A70" s="214">
        <v>45674</v>
      </c>
      <c r="B70" s="215" t="s">
        <v>300</v>
      </c>
      <c r="C70" s="215" t="s">
        <v>184</v>
      </c>
      <c r="D70" s="215" t="s">
        <v>124</v>
      </c>
      <c r="E70" s="215">
        <v>30000</v>
      </c>
      <c r="F70" s="242">
        <f t="shared" si="2"/>
        <v>52.611734170444478</v>
      </c>
      <c r="G70" s="215">
        <v>570.21500000000003</v>
      </c>
      <c r="H70" s="215" t="s">
        <v>192</v>
      </c>
      <c r="I70" s="215" t="s">
        <v>301</v>
      </c>
      <c r="J70" s="77" t="s">
        <v>100</v>
      </c>
      <c r="K70" s="215" t="s">
        <v>158</v>
      </c>
      <c r="L70" s="77" t="s">
        <v>159</v>
      </c>
      <c r="M70" s="284"/>
      <c r="N70" s="77"/>
      <c r="O70" s="77"/>
    </row>
    <row r="71" spans="1:15" ht="15.6" hidden="1" customHeight="1">
      <c r="A71" s="214">
        <v>45674</v>
      </c>
      <c r="B71" s="215" t="s">
        <v>302</v>
      </c>
      <c r="C71" s="215" t="s">
        <v>184</v>
      </c>
      <c r="D71" s="215" t="s">
        <v>180</v>
      </c>
      <c r="E71" s="215">
        <v>30000</v>
      </c>
      <c r="F71" s="242">
        <f t="shared" si="2"/>
        <v>52.611734170444478</v>
      </c>
      <c r="G71" s="215">
        <v>570.21500000000003</v>
      </c>
      <c r="H71" s="215" t="s">
        <v>181</v>
      </c>
      <c r="I71" s="215" t="s">
        <v>303</v>
      </c>
      <c r="J71" s="77" t="s">
        <v>100</v>
      </c>
      <c r="K71" s="215" t="s">
        <v>158</v>
      </c>
      <c r="L71" s="77" t="s">
        <v>159</v>
      </c>
      <c r="M71" s="284"/>
      <c r="N71" s="77"/>
      <c r="O71" s="77"/>
    </row>
    <row r="72" spans="1:15" ht="15.6" hidden="1" customHeight="1">
      <c r="A72" s="214">
        <v>45674</v>
      </c>
      <c r="B72" s="215" t="s">
        <v>304</v>
      </c>
      <c r="C72" s="215" t="s">
        <v>179</v>
      </c>
      <c r="D72" s="215" t="s">
        <v>180</v>
      </c>
      <c r="E72" s="215">
        <v>7000</v>
      </c>
      <c r="F72" s="242">
        <f t="shared" si="2"/>
        <v>12.276071306437045</v>
      </c>
      <c r="G72" s="215">
        <v>570.21500000000003</v>
      </c>
      <c r="H72" s="215" t="s">
        <v>181</v>
      </c>
      <c r="I72" s="215" t="s">
        <v>305</v>
      </c>
      <c r="J72" s="77" t="s">
        <v>100</v>
      </c>
      <c r="K72" s="215" t="s">
        <v>158</v>
      </c>
      <c r="L72" s="77" t="s">
        <v>159</v>
      </c>
      <c r="M72" s="284"/>
      <c r="N72" s="77"/>
      <c r="O72" s="77"/>
    </row>
    <row r="73" spans="1:15" ht="15.6" hidden="1" customHeight="1">
      <c r="A73" s="214">
        <v>45674</v>
      </c>
      <c r="B73" s="215" t="s">
        <v>306</v>
      </c>
      <c r="C73" s="215" t="s">
        <v>184</v>
      </c>
      <c r="D73" s="215" t="s">
        <v>120</v>
      </c>
      <c r="E73" s="215">
        <v>30000</v>
      </c>
      <c r="F73" s="242">
        <f t="shared" si="2"/>
        <v>52.611734170444478</v>
      </c>
      <c r="G73" s="215">
        <v>570.21500000000003</v>
      </c>
      <c r="H73" s="215" t="s">
        <v>198</v>
      </c>
      <c r="I73" s="215" t="s">
        <v>307</v>
      </c>
      <c r="J73" s="77" t="s">
        <v>100</v>
      </c>
      <c r="K73" s="215" t="s">
        <v>158</v>
      </c>
      <c r="L73" s="77" t="s">
        <v>159</v>
      </c>
      <c r="M73" s="284"/>
      <c r="N73" s="77"/>
      <c r="O73" s="77"/>
    </row>
    <row r="74" spans="1:15" ht="15.6" hidden="1" customHeight="1">
      <c r="A74" s="214">
        <v>45674</v>
      </c>
      <c r="B74" s="215" t="s">
        <v>308</v>
      </c>
      <c r="C74" s="215" t="s">
        <v>334</v>
      </c>
      <c r="D74" s="215" t="s">
        <v>120</v>
      </c>
      <c r="E74" s="215">
        <v>12000</v>
      </c>
      <c r="F74" s="242">
        <f t="shared" si="2"/>
        <v>21.044693668177793</v>
      </c>
      <c r="G74" s="215">
        <v>570.21500000000003</v>
      </c>
      <c r="H74" s="215" t="s">
        <v>201</v>
      </c>
      <c r="I74" s="215" t="s">
        <v>310</v>
      </c>
      <c r="J74" s="77" t="s">
        <v>100</v>
      </c>
      <c r="K74" s="215" t="s">
        <v>158</v>
      </c>
      <c r="L74" s="77" t="s">
        <v>159</v>
      </c>
      <c r="M74" s="284"/>
      <c r="N74" s="77"/>
      <c r="O74" s="77"/>
    </row>
    <row r="75" spans="1:15" ht="15.6" hidden="1" customHeight="1">
      <c r="A75" s="214">
        <v>45674</v>
      </c>
      <c r="B75" s="215" t="s">
        <v>311</v>
      </c>
      <c r="C75" s="215" t="s">
        <v>179</v>
      </c>
      <c r="D75" s="215" t="s">
        <v>120</v>
      </c>
      <c r="E75" s="215">
        <v>8000</v>
      </c>
      <c r="F75" s="242">
        <f t="shared" si="2"/>
        <v>14.029795778785195</v>
      </c>
      <c r="G75" s="215">
        <v>570.21500000000003</v>
      </c>
      <c r="H75" s="215" t="s">
        <v>201</v>
      </c>
      <c r="I75" s="215" t="s">
        <v>312</v>
      </c>
      <c r="J75" s="77" t="s">
        <v>100</v>
      </c>
      <c r="K75" s="215" t="s">
        <v>158</v>
      </c>
      <c r="L75" s="77" t="s">
        <v>159</v>
      </c>
      <c r="M75" s="284"/>
      <c r="N75" s="77"/>
      <c r="O75" s="77"/>
    </row>
    <row r="76" spans="1:15" ht="15.6" hidden="1" customHeight="1">
      <c r="A76" s="214">
        <v>45674</v>
      </c>
      <c r="B76" s="215" t="s">
        <v>314</v>
      </c>
      <c r="C76" s="215" t="s">
        <v>184</v>
      </c>
      <c r="D76" s="215" t="s">
        <v>123</v>
      </c>
      <c r="E76" s="215">
        <v>105000</v>
      </c>
      <c r="F76" s="242">
        <f t="shared" si="2"/>
        <v>184.14106959655567</v>
      </c>
      <c r="G76" s="215">
        <v>570.21500000000003</v>
      </c>
      <c r="H76" s="215" t="s">
        <v>223</v>
      </c>
      <c r="I76" s="215" t="s">
        <v>315</v>
      </c>
      <c r="J76" s="77" t="s">
        <v>100</v>
      </c>
      <c r="K76" s="215" t="s">
        <v>158</v>
      </c>
      <c r="L76" s="77" t="s">
        <v>159</v>
      </c>
      <c r="M76" s="284"/>
      <c r="N76" s="77"/>
      <c r="O76" s="77"/>
    </row>
    <row r="77" spans="1:15" ht="15.6" hidden="1" customHeight="1">
      <c r="A77" s="214">
        <v>45674</v>
      </c>
      <c r="B77" s="215" t="s">
        <v>106</v>
      </c>
      <c r="C77" s="215" t="s">
        <v>128</v>
      </c>
      <c r="D77" s="215"/>
      <c r="E77" s="215"/>
      <c r="F77" s="242"/>
      <c r="G77" s="217">
        <f>+M77/N77</f>
        <v>596.1932333333333</v>
      </c>
      <c r="H77" s="215" t="s">
        <v>151</v>
      </c>
      <c r="I77" s="215" t="s">
        <v>134</v>
      </c>
      <c r="J77" s="77" t="s">
        <v>100</v>
      </c>
      <c r="K77" s="215" t="s">
        <v>158</v>
      </c>
      <c r="L77" s="77" t="s">
        <v>159</v>
      </c>
      <c r="M77" s="284">
        <v>17885797</v>
      </c>
      <c r="N77" s="77">
        <v>30000</v>
      </c>
      <c r="O77" s="77"/>
    </row>
    <row r="78" spans="1:15" ht="15.6" hidden="1" customHeight="1">
      <c r="A78" s="214">
        <v>45675</v>
      </c>
      <c r="B78" s="215" t="s">
        <v>316</v>
      </c>
      <c r="C78" s="215" t="s">
        <v>184</v>
      </c>
      <c r="D78" s="215" t="s">
        <v>120</v>
      </c>
      <c r="E78" s="215">
        <v>30000</v>
      </c>
      <c r="F78" s="242">
        <f t="shared" ref="F78:F109" si="3">+E78/G78</f>
        <v>50.319275804982617</v>
      </c>
      <c r="G78" s="215">
        <v>596.19299999999998</v>
      </c>
      <c r="H78" s="215" t="s">
        <v>201</v>
      </c>
      <c r="I78" s="215" t="s">
        <v>317</v>
      </c>
      <c r="J78" s="77" t="s">
        <v>100</v>
      </c>
      <c r="K78" s="215" t="s">
        <v>158</v>
      </c>
      <c r="L78" s="77" t="s">
        <v>159</v>
      </c>
      <c r="M78" s="284"/>
      <c r="N78" s="77"/>
      <c r="O78" s="77"/>
    </row>
    <row r="79" spans="1:15" ht="15.6" hidden="1" customHeight="1">
      <c r="A79" s="214">
        <v>45676</v>
      </c>
      <c r="B79" s="215" t="s">
        <v>566</v>
      </c>
      <c r="C79" s="215" t="s">
        <v>204</v>
      </c>
      <c r="D79" s="215" t="s">
        <v>120</v>
      </c>
      <c r="E79" s="215">
        <v>7000</v>
      </c>
      <c r="F79" s="242">
        <f t="shared" si="3"/>
        <v>12.276071306437045</v>
      </c>
      <c r="G79" s="215">
        <v>570.21500000000003</v>
      </c>
      <c r="H79" s="215" t="s">
        <v>205</v>
      </c>
      <c r="I79" s="215" t="s">
        <v>313</v>
      </c>
      <c r="J79" s="77" t="s">
        <v>100</v>
      </c>
      <c r="K79" s="215" t="s">
        <v>158</v>
      </c>
      <c r="L79" s="77" t="s">
        <v>159</v>
      </c>
      <c r="M79" s="284"/>
      <c r="N79" s="77"/>
      <c r="O79" s="77"/>
    </row>
    <row r="80" spans="1:15" ht="15.6" hidden="1" customHeight="1">
      <c r="A80" s="214">
        <v>45676</v>
      </c>
      <c r="B80" s="215" t="s">
        <v>318</v>
      </c>
      <c r="C80" s="215" t="s">
        <v>184</v>
      </c>
      <c r="D80" s="215" t="s">
        <v>120</v>
      </c>
      <c r="E80" s="215">
        <v>150000</v>
      </c>
      <c r="F80" s="242">
        <f t="shared" si="3"/>
        <v>251.59637902491309</v>
      </c>
      <c r="G80" s="215">
        <v>596.19299999999998</v>
      </c>
      <c r="H80" s="215" t="s">
        <v>205</v>
      </c>
      <c r="I80" s="215" t="s">
        <v>319</v>
      </c>
      <c r="J80" s="77" t="s">
        <v>100</v>
      </c>
      <c r="K80" s="215" t="s">
        <v>158</v>
      </c>
      <c r="L80" s="77" t="s">
        <v>159</v>
      </c>
      <c r="M80" s="284"/>
      <c r="N80" s="77"/>
      <c r="O80" s="77"/>
    </row>
    <row r="81" spans="1:15" ht="15.6" hidden="1" customHeight="1">
      <c r="A81" s="214">
        <v>45676</v>
      </c>
      <c r="B81" s="215" t="s">
        <v>320</v>
      </c>
      <c r="C81" s="215" t="s">
        <v>204</v>
      </c>
      <c r="D81" s="215" t="s">
        <v>120</v>
      </c>
      <c r="E81" s="215">
        <v>12500</v>
      </c>
      <c r="F81" s="242">
        <f t="shared" si="3"/>
        <v>20.966364918742755</v>
      </c>
      <c r="G81" s="215">
        <v>596.19299999999998</v>
      </c>
      <c r="H81" s="215" t="s">
        <v>205</v>
      </c>
      <c r="I81" s="215" t="s">
        <v>321</v>
      </c>
      <c r="J81" s="77" t="s">
        <v>100</v>
      </c>
      <c r="K81" s="215" t="s">
        <v>158</v>
      </c>
      <c r="L81" s="77" t="s">
        <v>159</v>
      </c>
      <c r="M81" s="284"/>
      <c r="N81" s="77"/>
      <c r="O81" s="77"/>
    </row>
    <row r="82" spans="1:15" ht="15.6" hidden="1" customHeight="1">
      <c r="A82" s="214">
        <v>45677</v>
      </c>
      <c r="B82" s="215" t="s">
        <v>567</v>
      </c>
      <c r="C82" s="215" t="s">
        <v>1538</v>
      </c>
      <c r="D82" s="215" t="s">
        <v>121</v>
      </c>
      <c r="E82" s="215">
        <v>195000</v>
      </c>
      <c r="F82" s="242">
        <f t="shared" si="3"/>
        <v>327.07529273238703</v>
      </c>
      <c r="G82" s="215">
        <v>596.19299999999998</v>
      </c>
      <c r="H82" s="215" t="s">
        <v>161</v>
      </c>
      <c r="I82" s="215" t="s">
        <v>322</v>
      </c>
      <c r="J82" s="77" t="s">
        <v>100</v>
      </c>
      <c r="K82" s="215" t="s">
        <v>158</v>
      </c>
      <c r="L82" s="77" t="s">
        <v>159</v>
      </c>
      <c r="M82" s="284"/>
      <c r="N82" s="77"/>
      <c r="O82" s="77"/>
    </row>
    <row r="83" spans="1:15" ht="15.6" hidden="1" customHeight="1">
      <c r="A83" s="214">
        <v>45677</v>
      </c>
      <c r="B83" s="215" t="s">
        <v>323</v>
      </c>
      <c r="C83" s="215" t="s">
        <v>324</v>
      </c>
      <c r="D83" s="215" t="s">
        <v>121</v>
      </c>
      <c r="E83" s="215">
        <v>20000</v>
      </c>
      <c r="F83" s="242">
        <f t="shared" si="3"/>
        <v>33.546183869988411</v>
      </c>
      <c r="G83" s="215">
        <v>596.19299999999998</v>
      </c>
      <c r="H83" s="215" t="s">
        <v>161</v>
      </c>
      <c r="I83" s="215" t="s">
        <v>325</v>
      </c>
      <c r="J83" s="77" t="s">
        <v>100</v>
      </c>
      <c r="K83" s="215" t="s">
        <v>158</v>
      </c>
      <c r="L83" s="77" t="s">
        <v>159</v>
      </c>
      <c r="M83" s="284"/>
      <c r="N83" s="77"/>
      <c r="O83" s="77"/>
    </row>
    <row r="84" spans="1:15" ht="15.6" hidden="1" customHeight="1">
      <c r="A84" s="214">
        <v>45678</v>
      </c>
      <c r="B84" s="215" t="s">
        <v>326</v>
      </c>
      <c r="C84" s="215" t="s">
        <v>179</v>
      </c>
      <c r="D84" s="215" t="s">
        <v>180</v>
      </c>
      <c r="E84" s="215">
        <v>7000</v>
      </c>
      <c r="F84" s="242">
        <f t="shared" si="3"/>
        <v>11.741164354495943</v>
      </c>
      <c r="G84" s="215">
        <v>596.19299999999998</v>
      </c>
      <c r="H84" s="215" t="s">
        <v>181</v>
      </c>
      <c r="I84" s="215" t="s">
        <v>327</v>
      </c>
      <c r="J84" s="77" t="s">
        <v>100</v>
      </c>
      <c r="K84" s="215" t="s">
        <v>158</v>
      </c>
      <c r="L84" s="77" t="s">
        <v>159</v>
      </c>
      <c r="M84" s="284"/>
      <c r="N84" s="77"/>
      <c r="O84" s="77"/>
    </row>
    <row r="85" spans="1:15" ht="15.6" hidden="1" customHeight="1">
      <c r="A85" s="214">
        <v>45678</v>
      </c>
      <c r="B85" s="215" t="s">
        <v>328</v>
      </c>
      <c r="C85" s="215" t="s">
        <v>329</v>
      </c>
      <c r="D85" s="215" t="s">
        <v>180</v>
      </c>
      <c r="E85" s="215">
        <v>10000</v>
      </c>
      <c r="F85" s="242">
        <f t="shared" si="3"/>
        <v>17.537244723481493</v>
      </c>
      <c r="G85" s="215">
        <v>570.21500000000003</v>
      </c>
      <c r="H85" s="215" t="s">
        <v>181</v>
      </c>
      <c r="I85" s="215" t="s">
        <v>330</v>
      </c>
      <c r="J85" s="77" t="s">
        <v>100</v>
      </c>
      <c r="K85" s="215" t="s">
        <v>158</v>
      </c>
      <c r="L85" s="77" t="s">
        <v>159</v>
      </c>
      <c r="M85" s="284"/>
      <c r="N85" s="77"/>
      <c r="O85" s="77"/>
    </row>
    <row r="86" spans="1:15" ht="15.6" hidden="1" customHeight="1">
      <c r="A86" s="214">
        <v>45678</v>
      </c>
      <c r="B86" s="215" t="s">
        <v>331</v>
      </c>
      <c r="C86" s="215" t="s">
        <v>1538</v>
      </c>
      <c r="D86" s="215" t="s">
        <v>208</v>
      </c>
      <c r="E86" s="215">
        <v>24675</v>
      </c>
      <c r="F86" s="242">
        <f t="shared" si="3"/>
        <v>43.273151355190585</v>
      </c>
      <c r="G86" s="215">
        <v>570.21500000000003</v>
      </c>
      <c r="H86" s="215" t="s">
        <v>195</v>
      </c>
      <c r="I86" s="215" t="s">
        <v>332</v>
      </c>
      <c r="J86" s="77" t="s">
        <v>100</v>
      </c>
      <c r="K86" s="215" t="s">
        <v>158</v>
      </c>
      <c r="L86" s="77" t="s">
        <v>159</v>
      </c>
      <c r="M86" s="284"/>
      <c r="N86" s="77"/>
      <c r="O86" s="77"/>
    </row>
    <row r="87" spans="1:15" ht="15.6" hidden="1" customHeight="1">
      <c r="A87" s="214">
        <v>45678</v>
      </c>
      <c r="B87" s="215" t="s">
        <v>333</v>
      </c>
      <c r="C87" s="215" t="s">
        <v>334</v>
      </c>
      <c r="D87" s="215" t="s">
        <v>120</v>
      </c>
      <c r="E87" s="215">
        <v>26000</v>
      </c>
      <c r="F87" s="242">
        <f t="shared" si="3"/>
        <v>43.610039030984936</v>
      </c>
      <c r="G87" s="215">
        <v>596.19299999999998</v>
      </c>
      <c r="H87" s="215" t="s">
        <v>195</v>
      </c>
      <c r="I87" s="215" t="s">
        <v>335</v>
      </c>
      <c r="J87" s="77" t="s">
        <v>100</v>
      </c>
      <c r="K87" s="215" t="s">
        <v>158</v>
      </c>
      <c r="L87" s="77" t="s">
        <v>159</v>
      </c>
      <c r="M87" s="284"/>
      <c r="N87" s="77"/>
      <c r="O87" s="77"/>
    </row>
    <row r="88" spans="1:15" ht="15.6" hidden="1" customHeight="1">
      <c r="A88" s="214">
        <v>45678</v>
      </c>
      <c r="B88" s="215" t="s">
        <v>336</v>
      </c>
      <c r="C88" s="215" t="s">
        <v>337</v>
      </c>
      <c r="D88" s="215" t="s">
        <v>123</v>
      </c>
      <c r="E88" s="215">
        <v>154000</v>
      </c>
      <c r="F88" s="242">
        <f t="shared" si="3"/>
        <v>258.30561579891076</v>
      </c>
      <c r="G88" s="215">
        <v>596.19299999999998</v>
      </c>
      <c r="H88" s="215" t="s">
        <v>223</v>
      </c>
      <c r="I88" s="215" t="s">
        <v>338</v>
      </c>
      <c r="J88" s="77" t="s">
        <v>100</v>
      </c>
      <c r="K88" s="215" t="s">
        <v>158</v>
      </c>
      <c r="L88" s="77" t="s">
        <v>159</v>
      </c>
      <c r="M88" s="284"/>
      <c r="N88" s="77"/>
      <c r="O88" s="77"/>
    </row>
    <row r="89" spans="1:15" ht="15.6" hidden="1" customHeight="1">
      <c r="A89" s="214">
        <v>45679</v>
      </c>
      <c r="B89" s="215" t="s">
        <v>339</v>
      </c>
      <c r="C89" s="215" t="s">
        <v>184</v>
      </c>
      <c r="D89" s="215" t="s">
        <v>124</v>
      </c>
      <c r="E89" s="215">
        <v>80000</v>
      </c>
      <c r="F89" s="242">
        <f t="shared" si="3"/>
        <v>134.18473547995364</v>
      </c>
      <c r="G89" s="215">
        <v>596.19299999999998</v>
      </c>
      <c r="H89" s="215" t="s">
        <v>340</v>
      </c>
      <c r="I89" s="215" t="s">
        <v>341</v>
      </c>
      <c r="J89" s="77" t="s">
        <v>100</v>
      </c>
      <c r="K89" s="215" t="s">
        <v>158</v>
      </c>
      <c r="L89" s="77" t="s">
        <v>159</v>
      </c>
      <c r="M89" s="284"/>
      <c r="N89" s="77"/>
      <c r="O89" s="77"/>
    </row>
    <row r="90" spans="1:15" ht="15.6" hidden="1" customHeight="1">
      <c r="A90" s="214">
        <v>45679</v>
      </c>
      <c r="B90" s="215" t="s">
        <v>342</v>
      </c>
      <c r="C90" s="215" t="s">
        <v>179</v>
      </c>
      <c r="D90" s="215" t="s">
        <v>124</v>
      </c>
      <c r="E90" s="215">
        <v>7000</v>
      </c>
      <c r="F90" s="242">
        <f t="shared" si="3"/>
        <v>11.741164354495943</v>
      </c>
      <c r="G90" s="215">
        <v>596.19299999999998</v>
      </c>
      <c r="H90" s="215" t="s">
        <v>340</v>
      </c>
      <c r="I90" s="215" t="s">
        <v>343</v>
      </c>
      <c r="J90" s="77" t="s">
        <v>100</v>
      </c>
      <c r="K90" s="215" t="s">
        <v>158</v>
      </c>
      <c r="L90" s="77" t="s">
        <v>159</v>
      </c>
      <c r="M90" s="284"/>
      <c r="N90" s="77"/>
      <c r="O90" s="77"/>
    </row>
    <row r="91" spans="1:15" ht="15.6" hidden="1" customHeight="1">
      <c r="A91" s="214">
        <v>45679</v>
      </c>
      <c r="B91" s="215" t="s">
        <v>344</v>
      </c>
      <c r="C91" s="215" t="s">
        <v>179</v>
      </c>
      <c r="D91" s="215" t="s">
        <v>124</v>
      </c>
      <c r="E91" s="215">
        <v>7000</v>
      </c>
      <c r="F91" s="242">
        <f t="shared" si="3"/>
        <v>11.741164354495943</v>
      </c>
      <c r="G91" s="215">
        <v>596.19299999999998</v>
      </c>
      <c r="H91" s="215" t="s">
        <v>192</v>
      </c>
      <c r="I91" s="215" t="s">
        <v>345</v>
      </c>
      <c r="J91" s="77" t="s">
        <v>100</v>
      </c>
      <c r="K91" s="215" t="s">
        <v>158</v>
      </c>
      <c r="L91" s="77" t="s">
        <v>159</v>
      </c>
      <c r="M91" s="284"/>
      <c r="N91" s="77"/>
      <c r="O91" s="77"/>
    </row>
    <row r="92" spans="1:15" ht="15.6" hidden="1" customHeight="1">
      <c r="A92" s="214">
        <v>45679</v>
      </c>
      <c r="B92" s="215" t="s">
        <v>346</v>
      </c>
      <c r="C92" s="215" t="s">
        <v>184</v>
      </c>
      <c r="D92" s="215" t="s">
        <v>124</v>
      </c>
      <c r="E92" s="215">
        <v>80000</v>
      </c>
      <c r="F92" s="242">
        <f t="shared" si="3"/>
        <v>134.18473547995364</v>
      </c>
      <c r="G92" s="215">
        <v>596.19299999999998</v>
      </c>
      <c r="H92" s="215" t="s">
        <v>192</v>
      </c>
      <c r="I92" s="215" t="s">
        <v>347</v>
      </c>
      <c r="J92" s="77" t="s">
        <v>100</v>
      </c>
      <c r="K92" s="215" t="s">
        <v>158</v>
      </c>
      <c r="L92" s="77" t="s">
        <v>159</v>
      </c>
      <c r="M92" s="284"/>
      <c r="N92" s="77"/>
      <c r="O92" s="77"/>
    </row>
    <row r="93" spans="1:15" ht="15.6" hidden="1" customHeight="1">
      <c r="A93" s="214">
        <v>45679</v>
      </c>
      <c r="B93" s="215" t="s">
        <v>348</v>
      </c>
      <c r="C93" s="215" t="s">
        <v>184</v>
      </c>
      <c r="D93" s="215" t="s">
        <v>180</v>
      </c>
      <c r="E93" s="215">
        <v>80000</v>
      </c>
      <c r="F93" s="242">
        <f t="shared" si="3"/>
        <v>134.18473547995364</v>
      </c>
      <c r="G93" s="215">
        <v>596.19299999999998</v>
      </c>
      <c r="H93" s="215" t="s">
        <v>181</v>
      </c>
      <c r="I93" s="215" t="s">
        <v>349</v>
      </c>
      <c r="J93" s="77" t="s">
        <v>100</v>
      </c>
      <c r="K93" s="215" t="s">
        <v>158</v>
      </c>
      <c r="L93" s="77" t="s">
        <v>159</v>
      </c>
      <c r="M93" s="284"/>
      <c r="N93" s="77"/>
      <c r="O93" s="77"/>
    </row>
    <row r="94" spans="1:15" ht="15.6" hidden="1" customHeight="1">
      <c r="A94" s="214">
        <v>45679</v>
      </c>
      <c r="B94" s="215" t="s">
        <v>350</v>
      </c>
      <c r="C94" s="215" t="s">
        <v>179</v>
      </c>
      <c r="D94" s="215" t="s">
        <v>124</v>
      </c>
      <c r="E94" s="215">
        <v>7000</v>
      </c>
      <c r="F94" s="242">
        <f t="shared" si="3"/>
        <v>11.741164354495943</v>
      </c>
      <c r="G94" s="215">
        <v>596.19299999999998</v>
      </c>
      <c r="H94" s="215" t="s">
        <v>351</v>
      </c>
      <c r="I94" s="215" t="s">
        <v>352</v>
      </c>
      <c r="J94" s="77" t="s">
        <v>100</v>
      </c>
      <c r="K94" s="215" t="s">
        <v>158</v>
      </c>
      <c r="L94" s="77" t="s">
        <v>159</v>
      </c>
      <c r="M94" s="284"/>
      <c r="N94" s="77"/>
      <c r="O94" s="77"/>
    </row>
    <row r="95" spans="1:15" ht="15.6" hidden="1" customHeight="1">
      <c r="A95" s="214">
        <v>45679</v>
      </c>
      <c r="B95" s="215" t="s">
        <v>353</v>
      </c>
      <c r="C95" s="215" t="s">
        <v>184</v>
      </c>
      <c r="D95" s="215" t="s">
        <v>124</v>
      </c>
      <c r="E95" s="215">
        <v>80000</v>
      </c>
      <c r="F95" s="242">
        <f t="shared" si="3"/>
        <v>134.18473547995364</v>
      </c>
      <c r="G95" s="215">
        <v>596.19299999999998</v>
      </c>
      <c r="H95" s="215" t="s">
        <v>351</v>
      </c>
      <c r="I95" s="215" t="s">
        <v>354</v>
      </c>
      <c r="J95" s="77" t="s">
        <v>100</v>
      </c>
      <c r="K95" s="215" t="s">
        <v>158</v>
      </c>
      <c r="L95" s="77" t="s">
        <v>159</v>
      </c>
      <c r="M95" s="284"/>
      <c r="N95" s="77"/>
      <c r="O95" s="77"/>
    </row>
    <row r="96" spans="1:15" ht="15.6" hidden="1" customHeight="1">
      <c r="A96" s="214">
        <v>45679</v>
      </c>
      <c r="B96" s="215" t="s">
        <v>355</v>
      </c>
      <c r="C96" s="215" t="s">
        <v>179</v>
      </c>
      <c r="D96" s="215" t="s">
        <v>120</v>
      </c>
      <c r="E96" s="215">
        <v>14500</v>
      </c>
      <c r="F96" s="242">
        <f t="shared" si="3"/>
        <v>24.320983305741599</v>
      </c>
      <c r="G96" s="215">
        <v>596.19299999999998</v>
      </c>
      <c r="H96" s="215" t="s">
        <v>198</v>
      </c>
      <c r="I96" s="215" t="s">
        <v>356</v>
      </c>
      <c r="J96" s="77" t="s">
        <v>100</v>
      </c>
      <c r="K96" s="215" t="s">
        <v>158</v>
      </c>
      <c r="L96" s="77" t="s">
        <v>159</v>
      </c>
      <c r="M96" s="284"/>
      <c r="N96" s="77"/>
      <c r="O96" s="77"/>
    </row>
    <row r="97" spans="1:15" ht="15.6" hidden="1" customHeight="1">
      <c r="A97" s="214">
        <v>45679</v>
      </c>
      <c r="B97" s="215" t="s">
        <v>357</v>
      </c>
      <c r="C97" s="215" t="s">
        <v>1539</v>
      </c>
      <c r="D97" s="215" t="s">
        <v>121</v>
      </c>
      <c r="E97" s="215">
        <v>3330</v>
      </c>
      <c r="F97" s="242">
        <f t="shared" si="3"/>
        <v>5.5854396143530707</v>
      </c>
      <c r="G97" s="215">
        <v>596.19299999999998</v>
      </c>
      <c r="H97" s="215" t="s">
        <v>198</v>
      </c>
      <c r="I97" s="215" t="s">
        <v>358</v>
      </c>
      <c r="J97" s="77" t="s">
        <v>100</v>
      </c>
      <c r="K97" s="215" t="s">
        <v>158</v>
      </c>
      <c r="L97" s="77" t="s">
        <v>159</v>
      </c>
      <c r="M97" s="284"/>
      <c r="N97" s="77"/>
      <c r="O97" s="77"/>
    </row>
    <row r="98" spans="1:15" ht="15.6" hidden="1" customHeight="1">
      <c r="A98" s="214">
        <v>45679</v>
      </c>
      <c r="B98" s="215" t="s">
        <v>359</v>
      </c>
      <c r="C98" s="215" t="s">
        <v>1538</v>
      </c>
      <c r="D98" s="215" t="s">
        <v>121</v>
      </c>
      <c r="E98" s="215">
        <v>7500</v>
      </c>
      <c r="F98" s="242">
        <f t="shared" si="3"/>
        <v>12.579818951245654</v>
      </c>
      <c r="G98" s="215">
        <v>596.19299999999998</v>
      </c>
      <c r="H98" s="215" t="s">
        <v>201</v>
      </c>
      <c r="I98" s="215" t="s">
        <v>360</v>
      </c>
      <c r="J98" s="77" t="s">
        <v>100</v>
      </c>
      <c r="K98" s="215" t="s">
        <v>158</v>
      </c>
      <c r="L98" s="77" t="s">
        <v>159</v>
      </c>
      <c r="M98" s="284"/>
      <c r="N98" s="77"/>
      <c r="O98" s="77"/>
    </row>
    <row r="99" spans="1:15" ht="15.6" hidden="1" customHeight="1">
      <c r="A99" s="214">
        <v>45680</v>
      </c>
      <c r="B99" s="215" t="s">
        <v>361</v>
      </c>
      <c r="C99" s="215" t="s">
        <v>130</v>
      </c>
      <c r="D99" s="215" t="s">
        <v>120</v>
      </c>
      <c r="E99" s="215">
        <v>21000</v>
      </c>
      <c r="F99" s="242">
        <f t="shared" si="3"/>
        <v>35.22349306348783</v>
      </c>
      <c r="G99" s="215">
        <v>596.19299999999998</v>
      </c>
      <c r="H99" s="215" t="s">
        <v>161</v>
      </c>
      <c r="I99" s="215" t="s">
        <v>362</v>
      </c>
      <c r="J99" s="77" t="s">
        <v>100</v>
      </c>
      <c r="K99" s="215" t="s">
        <v>158</v>
      </c>
      <c r="L99" s="77" t="s">
        <v>159</v>
      </c>
      <c r="M99" s="284"/>
      <c r="N99" s="77"/>
      <c r="O99" s="77"/>
    </row>
    <row r="100" spans="1:15" ht="15.6" hidden="1" customHeight="1">
      <c r="A100" s="214">
        <v>45680</v>
      </c>
      <c r="B100" s="215" t="s">
        <v>363</v>
      </c>
      <c r="C100" s="215" t="s">
        <v>1539</v>
      </c>
      <c r="D100" s="215" t="s">
        <v>121</v>
      </c>
      <c r="E100" s="215">
        <v>21030</v>
      </c>
      <c r="F100" s="242">
        <f t="shared" si="3"/>
        <v>35.273812339292817</v>
      </c>
      <c r="G100" s="215">
        <v>596.19299999999998</v>
      </c>
      <c r="H100" s="215" t="s">
        <v>201</v>
      </c>
      <c r="I100" s="215" t="s">
        <v>364</v>
      </c>
      <c r="J100" s="77" t="s">
        <v>100</v>
      </c>
      <c r="K100" s="215" t="s">
        <v>158</v>
      </c>
      <c r="L100" s="77" t="s">
        <v>159</v>
      </c>
      <c r="M100" s="284"/>
      <c r="N100" s="77"/>
      <c r="O100" s="77"/>
    </row>
    <row r="101" spans="1:15" ht="15.6" hidden="1" customHeight="1">
      <c r="A101" s="214">
        <v>45680</v>
      </c>
      <c r="B101" s="215" t="s">
        <v>107</v>
      </c>
      <c r="C101" s="215" t="s">
        <v>130</v>
      </c>
      <c r="D101" s="215" t="s">
        <v>122</v>
      </c>
      <c r="E101" s="215">
        <v>1311000</v>
      </c>
      <c r="F101" s="242">
        <f t="shared" si="3"/>
        <v>2198.9523526777402</v>
      </c>
      <c r="G101" s="215">
        <v>596.19299999999998</v>
      </c>
      <c r="H101" s="215" t="s">
        <v>151</v>
      </c>
      <c r="I101" s="215" t="s">
        <v>136</v>
      </c>
      <c r="J101" s="77" t="s">
        <v>100</v>
      </c>
      <c r="K101" s="215" t="s">
        <v>158</v>
      </c>
      <c r="L101" s="77" t="s">
        <v>159</v>
      </c>
      <c r="M101" s="284"/>
      <c r="N101" s="77"/>
      <c r="O101" s="77"/>
    </row>
    <row r="102" spans="1:15" ht="15.6" hidden="1" customHeight="1">
      <c r="A102" s="214">
        <v>45680</v>
      </c>
      <c r="B102" s="215" t="s">
        <v>108</v>
      </c>
      <c r="C102" s="215" t="s">
        <v>130</v>
      </c>
      <c r="D102" s="215" t="s">
        <v>120</v>
      </c>
      <c r="E102" s="215">
        <v>200000</v>
      </c>
      <c r="F102" s="242">
        <f t="shared" si="3"/>
        <v>335.46183869988408</v>
      </c>
      <c r="G102" s="215">
        <v>596.19299999999998</v>
      </c>
      <c r="H102" s="215" t="s">
        <v>151</v>
      </c>
      <c r="I102" s="215" t="s">
        <v>137</v>
      </c>
      <c r="J102" s="77" t="s">
        <v>100</v>
      </c>
      <c r="K102" s="215" t="s">
        <v>158</v>
      </c>
      <c r="L102" s="77" t="s">
        <v>159</v>
      </c>
      <c r="M102" s="284"/>
      <c r="N102" s="77"/>
      <c r="O102" s="77"/>
    </row>
    <row r="103" spans="1:15" ht="15.6" hidden="1" customHeight="1">
      <c r="A103" s="214">
        <v>45680</v>
      </c>
      <c r="B103" s="215" t="s">
        <v>109</v>
      </c>
      <c r="C103" s="215" t="s">
        <v>130</v>
      </c>
      <c r="D103" s="215" t="s">
        <v>121</v>
      </c>
      <c r="E103" s="215">
        <v>551482</v>
      </c>
      <c r="F103" s="242">
        <f t="shared" si="3"/>
        <v>925.00582864944738</v>
      </c>
      <c r="G103" s="215">
        <v>596.19299999999998</v>
      </c>
      <c r="H103" s="215" t="s">
        <v>151</v>
      </c>
      <c r="I103" s="215" t="s">
        <v>138</v>
      </c>
      <c r="J103" s="77" t="s">
        <v>100</v>
      </c>
      <c r="K103" s="215" t="s">
        <v>158</v>
      </c>
      <c r="L103" s="77" t="s">
        <v>159</v>
      </c>
      <c r="M103" s="284"/>
      <c r="N103" s="77"/>
      <c r="O103" s="77"/>
    </row>
    <row r="104" spans="1:15" ht="15.6" hidden="1" customHeight="1">
      <c r="A104" s="214">
        <v>45680</v>
      </c>
      <c r="B104" s="215" t="s">
        <v>110</v>
      </c>
      <c r="C104" s="215" t="s">
        <v>130</v>
      </c>
      <c r="D104" s="215" t="s">
        <v>120</v>
      </c>
      <c r="E104" s="215">
        <v>384789</v>
      </c>
      <c r="F104" s="242">
        <f t="shared" si="3"/>
        <v>645.41012725744849</v>
      </c>
      <c r="G104" s="215">
        <v>596.19299999999998</v>
      </c>
      <c r="H104" s="215" t="s">
        <v>151</v>
      </c>
      <c r="I104" s="215" t="s">
        <v>139</v>
      </c>
      <c r="J104" s="77" t="s">
        <v>100</v>
      </c>
      <c r="K104" s="215" t="s">
        <v>158</v>
      </c>
      <c r="L104" s="77" t="s">
        <v>159</v>
      </c>
      <c r="M104" s="284"/>
      <c r="N104" s="77"/>
      <c r="O104" s="77"/>
    </row>
    <row r="105" spans="1:15" ht="15.6" hidden="1" customHeight="1">
      <c r="A105" s="214">
        <v>45680</v>
      </c>
      <c r="B105" s="215" t="s">
        <v>111</v>
      </c>
      <c r="C105" s="215" t="s">
        <v>130</v>
      </c>
      <c r="D105" s="215" t="s">
        <v>120</v>
      </c>
      <c r="E105" s="215">
        <v>336400</v>
      </c>
      <c r="F105" s="242">
        <f t="shared" si="3"/>
        <v>564.24681269320502</v>
      </c>
      <c r="G105" s="215">
        <v>596.19299999999998</v>
      </c>
      <c r="H105" s="215" t="s">
        <v>151</v>
      </c>
      <c r="I105" s="215" t="s">
        <v>140</v>
      </c>
      <c r="J105" s="77" t="s">
        <v>100</v>
      </c>
      <c r="K105" s="215" t="s">
        <v>158</v>
      </c>
      <c r="L105" s="77" t="s">
        <v>159</v>
      </c>
      <c r="M105" s="284"/>
      <c r="N105" s="77"/>
      <c r="O105" s="77"/>
    </row>
    <row r="106" spans="1:15" ht="15.6" hidden="1" customHeight="1">
      <c r="A106" s="214">
        <v>45680</v>
      </c>
      <c r="B106" s="215" t="s">
        <v>112</v>
      </c>
      <c r="C106" s="215" t="s">
        <v>130</v>
      </c>
      <c r="D106" s="215" t="s">
        <v>120</v>
      </c>
      <c r="E106" s="215">
        <v>200000</v>
      </c>
      <c r="F106" s="242">
        <f t="shared" si="3"/>
        <v>335.46183869988408</v>
      </c>
      <c r="G106" s="215">
        <v>596.19299999999998</v>
      </c>
      <c r="H106" s="215" t="s">
        <v>151</v>
      </c>
      <c r="I106" s="215" t="s">
        <v>141</v>
      </c>
      <c r="J106" s="77" t="s">
        <v>100</v>
      </c>
      <c r="K106" s="215" t="s">
        <v>158</v>
      </c>
      <c r="L106" s="77" t="s">
        <v>159</v>
      </c>
      <c r="M106" s="284"/>
      <c r="N106" s="77"/>
      <c r="O106" s="77"/>
    </row>
    <row r="107" spans="1:15" ht="15.6" hidden="1" customHeight="1">
      <c r="A107" s="214">
        <v>45680</v>
      </c>
      <c r="B107" s="215" t="s">
        <v>113</v>
      </c>
      <c r="C107" s="215" t="s">
        <v>130</v>
      </c>
      <c r="D107" s="215" t="s">
        <v>120</v>
      </c>
      <c r="E107" s="215">
        <v>200000</v>
      </c>
      <c r="F107" s="242">
        <f t="shared" si="3"/>
        <v>335.46183869988408</v>
      </c>
      <c r="G107" s="215">
        <v>596.19299999999998</v>
      </c>
      <c r="H107" s="215" t="s">
        <v>151</v>
      </c>
      <c r="I107" s="215" t="s">
        <v>142</v>
      </c>
      <c r="J107" s="77" t="s">
        <v>100</v>
      </c>
      <c r="K107" s="215" t="s">
        <v>158</v>
      </c>
      <c r="L107" s="77" t="s">
        <v>159</v>
      </c>
      <c r="M107" s="284"/>
      <c r="N107" s="77"/>
      <c r="O107" s="77"/>
    </row>
    <row r="108" spans="1:15" ht="15.6" hidden="1" customHeight="1">
      <c r="A108" s="214">
        <v>45680</v>
      </c>
      <c r="B108" s="215" t="s">
        <v>114</v>
      </c>
      <c r="C108" s="215" t="s">
        <v>130</v>
      </c>
      <c r="D108" s="215" t="s">
        <v>123</v>
      </c>
      <c r="E108" s="215">
        <v>238140</v>
      </c>
      <c r="F108" s="242">
        <f t="shared" si="3"/>
        <v>399.43441133995202</v>
      </c>
      <c r="G108" s="215">
        <v>596.19299999999998</v>
      </c>
      <c r="H108" s="215" t="s">
        <v>151</v>
      </c>
      <c r="I108" s="215" t="s">
        <v>143</v>
      </c>
      <c r="J108" s="77" t="s">
        <v>100</v>
      </c>
      <c r="K108" s="215" t="s">
        <v>158</v>
      </c>
      <c r="L108" s="77" t="s">
        <v>159</v>
      </c>
      <c r="M108" s="284"/>
      <c r="N108" s="77"/>
      <c r="O108" s="77"/>
    </row>
    <row r="109" spans="1:15" ht="15.6" hidden="1" customHeight="1">
      <c r="A109" s="214">
        <v>45681</v>
      </c>
      <c r="B109" s="215" t="s">
        <v>365</v>
      </c>
      <c r="C109" s="215" t="s">
        <v>179</v>
      </c>
      <c r="D109" s="215" t="s">
        <v>120</v>
      </c>
      <c r="E109" s="215">
        <v>7000</v>
      </c>
      <c r="F109" s="242">
        <f t="shared" si="3"/>
        <v>11.741164354495943</v>
      </c>
      <c r="G109" s="215">
        <v>596.19299999999998</v>
      </c>
      <c r="H109" s="215" t="s">
        <v>209</v>
      </c>
      <c r="I109" s="215" t="s">
        <v>366</v>
      </c>
      <c r="J109" s="77" t="s">
        <v>100</v>
      </c>
      <c r="K109" s="215" t="s">
        <v>158</v>
      </c>
      <c r="L109" s="77" t="s">
        <v>159</v>
      </c>
      <c r="M109" s="284"/>
      <c r="N109" s="77"/>
      <c r="O109" s="77"/>
    </row>
    <row r="110" spans="1:15" ht="15.6" hidden="1" customHeight="1">
      <c r="A110" s="214">
        <v>45681</v>
      </c>
      <c r="B110" s="215" t="s">
        <v>367</v>
      </c>
      <c r="C110" s="215" t="s">
        <v>179</v>
      </c>
      <c r="D110" s="215" t="s">
        <v>124</v>
      </c>
      <c r="E110" s="215">
        <v>5000</v>
      </c>
      <c r="F110" s="242">
        <f t="shared" ref="F110:F141" si="4">+E110/G110</f>
        <v>8.3865459674971028</v>
      </c>
      <c r="G110" s="215">
        <v>596.19299999999998</v>
      </c>
      <c r="H110" s="215" t="s">
        <v>340</v>
      </c>
      <c r="I110" s="215" t="s">
        <v>368</v>
      </c>
      <c r="J110" s="77" t="s">
        <v>100</v>
      </c>
      <c r="K110" s="215" t="s">
        <v>158</v>
      </c>
      <c r="L110" s="77" t="s">
        <v>159</v>
      </c>
      <c r="M110" s="284"/>
      <c r="N110" s="77"/>
      <c r="O110" s="77"/>
    </row>
    <row r="111" spans="1:15" ht="15.6" hidden="1" customHeight="1">
      <c r="A111" s="214">
        <v>45681</v>
      </c>
      <c r="B111" s="215" t="s">
        <v>369</v>
      </c>
      <c r="C111" s="215" t="s">
        <v>179</v>
      </c>
      <c r="D111" s="215" t="s">
        <v>124</v>
      </c>
      <c r="E111" s="215">
        <v>5000</v>
      </c>
      <c r="F111" s="242">
        <f t="shared" si="4"/>
        <v>8.3865459674971028</v>
      </c>
      <c r="G111" s="215">
        <v>596.19299999999998</v>
      </c>
      <c r="H111" s="215" t="s">
        <v>340</v>
      </c>
      <c r="I111" s="215" t="s">
        <v>370</v>
      </c>
      <c r="J111" s="77" t="s">
        <v>100</v>
      </c>
      <c r="K111" s="215" t="s">
        <v>158</v>
      </c>
      <c r="L111" s="77" t="s">
        <v>159</v>
      </c>
      <c r="M111" s="284"/>
      <c r="N111" s="77"/>
      <c r="O111" s="77"/>
    </row>
    <row r="112" spans="1:15" ht="15.6" hidden="1" customHeight="1">
      <c r="A112" s="214">
        <v>45681</v>
      </c>
      <c r="B112" s="215" t="s">
        <v>371</v>
      </c>
      <c r="C112" s="215" t="s">
        <v>184</v>
      </c>
      <c r="D112" s="215" t="s">
        <v>124</v>
      </c>
      <c r="E112" s="215">
        <v>30000</v>
      </c>
      <c r="F112" s="242">
        <f t="shared" si="4"/>
        <v>50.319275804982617</v>
      </c>
      <c r="G112" s="215">
        <v>596.19299999999998</v>
      </c>
      <c r="H112" s="215" t="s">
        <v>192</v>
      </c>
      <c r="I112" s="215" t="s">
        <v>372</v>
      </c>
      <c r="J112" s="77" t="s">
        <v>100</v>
      </c>
      <c r="K112" s="215" t="s">
        <v>158</v>
      </c>
      <c r="L112" s="77" t="s">
        <v>159</v>
      </c>
      <c r="M112" s="284"/>
      <c r="N112" s="77"/>
      <c r="O112" s="77"/>
    </row>
    <row r="113" spans="1:15" ht="15.6" hidden="1" customHeight="1">
      <c r="A113" s="214">
        <v>45681</v>
      </c>
      <c r="B113" s="215" t="s">
        <v>373</v>
      </c>
      <c r="C113" s="215" t="s">
        <v>179</v>
      </c>
      <c r="D113" s="215" t="s">
        <v>124</v>
      </c>
      <c r="E113" s="215">
        <v>6000</v>
      </c>
      <c r="F113" s="242">
        <f t="shared" si="4"/>
        <v>10.063855160996523</v>
      </c>
      <c r="G113" s="215">
        <v>596.19299999999998</v>
      </c>
      <c r="H113" s="215" t="s">
        <v>192</v>
      </c>
      <c r="I113" s="215" t="s">
        <v>374</v>
      </c>
      <c r="J113" s="77" t="s">
        <v>100</v>
      </c>
      <c r="K113" s="215" t="s">
        <v>158</v>
      </c>
      <c r="L113" s="77" t="s">
        <v>159</v>
      </c>
      <c r="M113" s="284"/>
      <c r="N113" s="77"/>
      <c r="O113" s="77"/>
    </row>
    <row r="114" spans="1:15" ht="15.6" hidden="1" customHeight="1">
      <c r="A114" s="214">
        <v>45681</v>
      </c>
      <c r="B114" s="215" t="s">
        <v>375</v>
      </c>
      <c r="C114" s="215" t="s">
        <v>184</v>
      </c>
      <c r="D114" s="215" t="s">
        <v>180</v>
      </c>
      <c r="E114" s="215">
        <v>30000</v>
      </c>
      <c r="F114" s="242">
        <f t="shared" si="4"/>
        <v>50.319275804982617</v>
      </c>
      <c r="G114" s="215">
        <v>596.19299999999998</v>
      </c>
      <c r="H114" s="215" t="s">
        <v>181</v>
      </c>
      <c r="I114" s="215" t="s">
        <v>376</v>
      </c>
      <c r="J114" s="77" t="s">
        <v>100</v>
      </c>
      <c r="K114" s="215" t="s">
        <v>158</v>
      </c>
      <c r="L114" s="77" t="s">
        <v>159</v>
      </c>
      <c r="M114" s="284"/>
      <c r="N114" s="77"/>
      <c r="O114" s="77"/>
    </row>
    <row r="115" spans="1:15" ht="15.6" hidden="1" customHeight="1">
      <c r="A115" s="214">
        <v>45681</v>
      </c>
      <c r="B115" s="215" t="s">
        <v>377</v>
      </c>
      <c r="C115" s="215" t="s">
        <v>179</v>
      </c>
      <c r="D115" s="215" t="s">
        <v>180</v>
      </c>
      <c r="E115" s="215">
        <v>15000</v>
      </c>
      <c r="F115" s="242">
        <f t="shared" si="4"/>
        <v>25.159637902491308</v>
      </c>
      <c r="G115" s="215">
        <v>596.19299999999998</v>
      </c>
      <c r="H115" s="215" t="s">
        <v>181</v>
      </c>
      <c r="I115" s="215" t="s">
        <v>378</v>
      </c>
      <c r="J115" s="77" t="s">
        <v>100</v>
      </c>
      <c r="K115" s="215" t="s">
        <v>158</v>
      </c>
      <c r="L115" s="77" t="s">
        <v>159</v>
      </c>
      <c r="M115" s="284"/>
      <c r="N115" s="77"/>
      <c r="O115" s="77"/>
    </row>
    <row r="116" spans="1:15" ht="15.6" hidden="1" customHeight="1">
      <c r="A116" s="214">
        <v>45681</v>
      </c>
      <c r="B116" s="215" t="s">
        <v>379</v>
      </c>
      <c r="C116" s="215" t="s">
        <v>184</v>
      </c>
      <c r="D116" s="215" t="s">
        <v>124</v>
      </c>
      <c r="E116" s="215">
        <v>30000</v>
      </c>
      <c r="F116" s="242">
        <f t="shared" si="4"/>
        <v>50.319275804982617</v>
      </c>
      <c r="G116" s="215">
        <v>596.19299999999998</v>
      </c>
      <c r="H116" s="215" t="s">
        <v>351</v>
      </c>
      <c r="I116" s="215" t="s">
        <v>380</v>
      </c>
      <c r="J116" s="77" t="s">
        <v>100</v>
      </c>
      <c r="K116" s="215" t="s">
        <v>158</v>
      </c>
      <c r="L116" s="77" t="s">
        <v>159</v>
      </c>
      <c r="M116" s="284"/>
      <c r="N116" s="77"/>
      <c r="O116" s="77"/>
    </row>
    <row r="117" spans="1:15" ht="15.6" hidden="1" customHeight="1">
      <c r="A117" s="214">
        <v>45681</v>
      </c>
      <c r="B117" s="215" t="s">
        <v>381</v>
      </c>
      <c r="C117" s="215" t="s">
        <v>179</v>
      </c>
      <c r="D117" s="215" t="s">
        <v>124</v>
      </c>
      <c r="E117" s="215">
        <v>8000</v>
      </c>
      <c r="F117" s="242">
        <f t="shared" si="4"/>
        <v>13.418473547995363</v>
      </c>
      <c r="G117" s="215">
        <v>596.19299999999998</v>
      </c>
      <c r="H117" s="215" t="s">
        <v>351</v>
      </c>
      <c r="I117" s="215" t="s">
        <v>382</v>
      </c>
      <c r="J117" s="77" t="s">
        <v>100</v>
      </c>
      <c r="K117" s="215" t="s">
        <v>158</v>
      </c>
      <c r="L117" s="77" t="s">
        <v>159</v>
      </c>
      <c r="M117" s="284"/>
      <c r="N117" s="77"/>
      <c r="O117" s="77"/>
    </row>
    <row r="118" spans="1:15" ht="15.6" hidden="1" customHeight="1">
      <c r="A118" s="214">
        <v>45681</v>
      </c>
      <c r="B118" s="215" t="s">
        <v>383</v>
      </c>
      <c r="C118" s="215" t="s">
        <v>179</v>
      </c>
      <c r="D118" s="215" t="s">
        <v>120</v>
      </c>
      <c r="E118" s="215">
        <v>7000</v>
      </c>
      <c r="F118" s="242">
        <f t="shared" si="4"/>
        <v>11.741164354495943</v>
      </c>
      <c r="G118" s="215">
        <v>596.19299999999998</v>
      </c>
      <c r="H118" s="215" t="s">
        <v>195</v>
      </c>
      <c r="I118" s="215" t="s">
        <v>332</v>
      </c>
      <c r="J118" s="77" t="s">
        <v>100</v>
      </c>
      <c r="K118" s="215" t="s">
        <v>158</v>
      </c>
      <c r="L118" s="77" t="s">
        <v>159</v>
      </c>
      <c r="M118" s="284"/>
      <c r="N118" s="77"/>
      <c r="O118" s="77"/>
    </row>
    <row r="119" spans="1:15" ht="15.6" hidden="1" customHeight="1">
      <c r="A119" s="214">
        <v>45682</v>
      </c>
      <c r="B119" s="215" t="s">
        <v>384</v>
      </c>
      <c r="C119" s="215" t="s">
        <v>184</v>
      </c>
      <c r="D119" s="215" t="s">
        <v>120</v>
      </c>
      <c r="E119" s="215">
        <v>150000</v>
      </c>
      <c r="F119" s="242">
        <f t="shared" si="4"/>
        <v>251.59637902491309</v>
      </c>
      <c r="G119" s="215">
        <v>596.19299999999998</v>
      </c>
      <c r="H119" s="215" t="s">
        <v>209</v>
      </c>
      <c r="I119" s="215" t="s">
        <v>385</v>
      </c>
      <c r="J119" s="77" t="s">
        <v>100</v>
      </c>
      <c r="K119" s="215" t="s">
        <v>158</v>
      </c>
      <c r="L119" s="77" t="s">
        <v>159</v>
      </c>
      <c r="M119" s="284"/>
      <c r="N119" s="77"/>
      <c r="O119" s="77"/>
    </row>
    <row r="120" spans="1:15" ht="15.6" hidden="1" customHeight="1">
      <c r="A120" s="214">
        <v>45682</v>
      </c>
      <c r="B120" s="215" t="s">
        <v>386</v>
      </c>
      <c r="C120" s="215" t="s">
        <v>179</v>
      </c>
      <c r="D120" s="215" t="s">
        <v>120</v>
      </c>
      <c r="E120" s="215">
        <v>13500</v>
      </c>
      <c r="F120" s="242">
        <f t="shared" si="4"/>
        <v>22.643674112242177</v>
      </c>
      <c r="G120" s="215">
        <v>596.19299999999998</v>
      </c>
      <c r="H120" s="215" t="s">
        <v>209</v>
      </c>
      <c r="I120" s="215" t="s">
        <v>387</v>
      </c>
      <c r="J120" s="77" t="s">
        <v>100</v>
      </c>
      <c r="K120" s="215" t="s">
        <v>158</v>
      </c>
      <c r="L120" s="77" t="s">
        <v>159</v>
      </c>
      <c r="M120" s="284"/>
      <c r="N120" s="77"/>
      <c r="O120" s="77"/>
    </row>
    <row r="121" spans="1:15" ht="15.6" hidden="1" customHeight="1">
      <c r="A121" s="214">
        <v>45682</v>
      </c>
      <c r="B121" s="215" t="s">
        <v>388</v>
      </c>
      <c r="C121" s="215" t="s">
        <v>184</v>
      </c>
      <c r="D121" s="215" t="s">
        <v>120</v>
      </c>
      <c r="E121" s="215">
        <v>240000</v>
      </c>
      <c r="F121" s="242">
        <f t="shared" si="4"/>
        <v>402.55420643986093</v>
      </c>
      <c r="G121" s="215">
        <v>596.19299999999998</v>
      </c>
      <c r="H121" s="215" t="s">
        <v>195</v>
      </c>
      <c r="I121" s="215" t="s">
        <v>389</v>
      </c>
      <c r="J121" s="77" t="s">
        <v>100</v>
      </c>
      <c r="K121" s="215" t="s">
        <v>158</v>
      </c>
      <c r="L121" s="77" t="s">
        <v>159</v>
      </c>
      <c r="M121" s="284"/>
      <c r="N121" s="77"/>
      <c r="O121" s="77"/>
    </row>
    <row r="122" spans="1:15" ht="15.6" hidden="1" customHeight="1">
      <c r="A122" s="214">
        <v>45683</v>
      </c>
      <c r="B122" s="215" t="s">
        <v>390</v>
      </c>
      <c r="C122" s="215" t="s">
        <v>184</v>
      </c>
      <c r="D122" s="215" t="s">
        <v>124</v>
      </c>
      <c r="E122" s="215">
        <v>60000</v>
      </c>
      <c r="F122" s="242">
        <f t="shared" si="4"/>
        <v>100.63855160996523</v>
      </c>
      <c r="G122" s="215">
        <v>596.19299999999998</v>
      </c>
      <c r="H122" s="215" t="s">
        <v>340</v>
      </c>
      <c r="I122" s="215" t="s">
        <v>391</v>
      </c>
      <c r="J122" s="77" t="s">
        <v>100</v>
      </c>
      <c r="K122" s="215" t="s">
        <v>158</v>
      </c>
      <c r="L122" s="77" t="s">
        <v>159</v>
      </c>
      <c r="M122" s="284"/>
      <c r="N122" s="77"/>
      <c r="O122" s="77"/>
    </row>
    <row r="123" spans="1:15" ht="15.6" hidden="1" customHeight="1">
      <c r="A123" s="214">
        <v>45683</v>
      </c>
      <c r="B123" s="215" t="s">
        <v>392</v>
      </c>
      <c r="C123" s="215" t="s">
        <v>179</v>
      </c>
      <c r="D123" s="215" t="s">
        <v>124</v>
      </c>
      <c r="E123" s="215">
        <v>3000</v>
      </c>
      <c r="F123" s="242">
        <f t="shared" si="4"/>
        <v>5.0319275804982615</v>
      </c>
      <c r="G123" s="215">
        <v>596.19299999999998</v>
      </c>
      <c r="H123" s="215" t="s">
        <v>340</v>
      </c>
      <c r="I123" s="215" t="s">
        <v>393</v>
      </c>
      <c r="J123" s="77" t="s">
        <v>100</v>
      </c>
      <c r="K123" s="215" t="s">
        <v>158</v>
      </c>
      <c r="L123" s="77" t="s">
        <v>159</v>
      </c>
      <c r="M123" s="284"/>
      <c r="N123" s="77"/>
      <c r="O123" s="77"/>
    </row>
    <row r="124" spans="1:15" ht="15.6" hidden="1" customHeight="1">
      <c r="A124" s="214">
        <v>45683</v>
      </c>
      <c r="B124" s="215" t="s">
        <v>394</v>
      </c>
      <c r="C124" s="215" t="s">
        <v>184</v>
      </c>
      <c r="D124" s="215" t="s">
        <v>124</v>
      </c>
      <c r="E124" s="215">
        <v>30000</v>
      </c>
      <c r="F124" s="242">
        <f t="shared" si="4"/>
        <v>50.319275804982617</v>
      </c>
      <c r="G124" s="215">
        <v>596.19299999999998</v>
      </c>
      <c r="H124" s="215" t="s">
        <v>192</v>
      </c>
      <c r="I124" s="215" t="s">
        <v>395</v>
      </c>
      <c r="J124" s="77" t="s">
        <v>100</v>
      </c>
      <c r="K124" s="215" t="s">
        <v>158</v>
      </c>
      <c r="L124" s="77" t="s">
        <v>159</v>
      </c>
      <c r="M124" s="284"/>
      <c r="N124" s="77"/>
      <c r="O124" s="77"/>
    </row>
    <row r="125" spans="1:15" ht="15.6" hidden="1" customHeight="1">
      <c r="A125" s="214">
        <v>45683</v>
      </c>
      <c r="B125" s="215" t="s">
        <v>396</v>
      </c>
      <c r="C125" s="215" t="s">
        <v>179</v>
      </c>
      <c r="D125" s="215" t="s">
        <v>124</v>
      </c>
      <c r="E125" s="215">
        <v>6000</v>
      </c>
      <c r="F125" s="242">
        <f t="shared" si="4"/>
        <v>10.063855160996523</v>
      </c>
      <c r="G125" s="215">
        <v>596.19299999999998</v>
      </c>
      <c r="H125" s="215" t="s">
        <v>192</v>
      </c>
      <c r="I125" s="215" t="s">
        <v>397</v>
      </c>
      <c r="J125" s="77" t="s">
        <v>100</v>
      </c>
      <c r="K125" s="215" t="s">
        <v>158</v>
      </c>
      <c r="L125" s="77" t="s">
        <v>159</v>
      </c>
      <c r="M125" s="284"/>
      <c r="N125" s="77"/>
      <c r="O125" s="77"/>
    </row>
    <row r="126" spans="1:15" ht="15.6" hidden="1" customHeight="1">
      <c r="A126" s="214">
        <v>45683</v>
      </c>
      <c r="B126" s="215" t="s">
        <v>398</v>
      </c>
      <c r="C126" s="215" t="s">
        <v>179</v>
      </c>
      <c r="D126" s="215" t="s">
        <v>124</v>
      </c>
      <c r="E126" s="215">
        <v>5000</v>
      </c>
      <c r="F126" s="242">
        <f t="shared" si="4"/>
        <v>8.3865459674971028</v>
      </c>
      <c r="G126" s="215">
        <v>596.19299999999998</v>
      </c>
      <c r="H126" s="215" t="s">
        <v>192</v>
      </c>
      <c r="I126" s="215" t="s">
        <v>399</v>
      </c>
      <c r="J126" s="77" t="s">
        <v>100</v>
      </c>
      <c r="K126" s="215" t="s">
        <v>158</v>
      </c>
      <c r="L126" s="77" t="s">
        <v>159</v>
      </c>
      <c r="M126" s="284"/>
      <c r="N126" s="77"/>
      <c r="O126" s="77"/>
    </row>
    <row r="127" spans="1:15" ht="15.6" hidden="1" customHeight="1">
      <c r="A127" s="214">
        <v>45683</v>
      </c>
      <c r="B127" s="215" t="s">
        <v>400</v>
      </c>
      <c r="C127" s="215" t="s">
        <v>184</v>
      </c>
      <c r="D127" s="215" t="s">
        <v>180</v>
      </c>
      <c r="E127" s="215">
        <v>30000</v>
      </c>
      <c r="F127" s="242">
        <f t="shared" si="4"/>
        <v>50.319275804982617</v>
      </c>
      <c r="G127" s="215">
        <v>596.19299999999998</v>
      </c>
      <c r="H127" s="215" t="s">
        <v>181</v>
      </c>
      <c r="I127" s="215" t="s">
        <v>401</v>
      </c>
      <c r="J127" s="77" t="s">
        <v>100</v>
      </c>
      <c r="K127" s="215" t="s">
        <v>158</v>
      </c>
      <c r="L127" s="77" t="s">
        <v>159</v>
      </c>
      <c r="M127" s="284"/>
      <c r="N127" s="77"/>
      <c r="O127" s="77"/>
    </row>
    <row r="128" spans="1:15" ht="15.6" hidden="1" customHeight="1">
      <c r="A128" s="214">
        <v>45683</v>
      </c>
      <c r="B128" s="215" t="s">
        <v>402</v>
      </c>
      <c r="C128" s="215" t="s">
        <v>179</v>
      </c>
      <c r="D128" s="215" t="s">
        <v>180</v>
      </c>
      <c r="E128" s="215">
        <v>7000</v>
      </c>
      <c r="F128" s="242">
        <f t="shared" si="4"/>
        <v>11.741164354495943</v>
      </c>
      <c r="G128" s="215">
        <v>596.19299999999998</v>
      </c>
      <c r="H128" s="215" t="s">
        <v>181</v>
      </c>
      <c r="I128" s="215" t="s">
        <v>403</v>
      </c>
      <c r="J128" s="77" t="s">
        <v>100</v>
      </c>
      <c r="K128" s="215" t="s">
        <v>158</v>
      </c>
      <c r="L128" s="77" t="s">
        <v>159</v>
      </c>
      <c r="M128" s="284"/>
      <c r="N128" s="77"/>
      <c r="O128" s="77"/>
    </row>
    <row r="129" spans="1:15" ht="15.6" hidden="1" customHeight="1">
      <c r="A129" s="214">
        <v>45683</v>
      </c>
      <c r="B129" s="215" t="s">
        <v>404</v>
      </c>
      <c r="C129" s="215" t="s">
        <v>184</v>
      </c>
      <c r="D129" s="215" t="s">
        <v>124</v>
      </c>
      <c r="E129" s="215">
        <v>30000</v>
      </c>
      <c r="F129" s="242">
        <f t="shared" si="4"/>
        <v>50.319275804982617</v>
      </c>
      <c r="G129" s="215">
        <v>596.19299999999998</v>
      </c>
      <c r="H129" s="215" t="s">
        <v>351</v>
      </c>
      <c r="I129" s="215" t="s">
        <v>405</v>
      </c>
      <c r="J129" s="77" t="s">
        <v>100</v>
      </c>
      <c r="K129" s="215" t="s">
        <v>158</v>
      </c>
      <c r="L129" s="77" t="s">
        <v>159</v>
      </c>
      <c r="M129" s="284"/>
      <c r="N129" s="77"/>
      <c r="O129" s="77"/>
    </row>
    <row r="130" spans="1:15" ht="15.6" hidden="1" customHeight="1">
      <c r="A130" s="214">
        <v>45683</v>
      </c>
      <c r="B130" s="215" t="s">
        <v>406</v>
      </c>
      <c r="C130" s="215" t="s">
        <v>179</v>
      </c>
      <c r="D130" s="215" t="s">
        <v>124</v>
      </c>
      <c r="E130" s="215">
        <v>5000</v>
      </c>
      <c r="F130" s="242">
        <f t="shared" si="4"/>
        <v>8.3865459674971028</v>
      </c>
      <c r="G130" s="215">
        <v>596.19299999999998</v>
      </c>
      <c r="H130" s="215" t="s">
        <v>351</v>
      </c>
      <c r="I130" s="215" t="s">
        <v>407</v>
      </c>
      <c r="J130" s="77" t="s">
        <v>100</v>
      </c>
      <c r="K130" s="215" t="s">
        <v>158</v>
      </c>
      <c r="L130" s="77" t="s">
        <v>159</v>
      </c>
      <c r="M130" s="284"/>
      <c r="N130" s="77"/>
      <c r="O130" s="77"/>
    </row>
    <row r="131" spans="1:15" ht="15.6" hidden="1" customHeight="1">
      <c r="A131" s="214">
        <v>45684</v>
      </c>
      <c r="B131" s="215" t="s">
        <v>408</v>
      </c>
      <c r="C131" s="215" t="s">
        <v>130</v>
      </c>
      <c r="D131" s="215" t="s">
        <v>120</v>
      </c>
      <c r="E131" s="215">
        <v>127070</v>
      </c>
      <c r="F131" s="242">
        <f t="shared" si="4"/>
        <v>213.13567921797136</v>
      </c>
      <c r="G131" s="215">
        <v>596.19299999999998</v>
      </c>
      <c r="H131" s="215" t="s">
        <v>161</v>
      </c>
      <c r="I131" s="215" t="s">
        <v>409</v>
      </c>
      <c r="J131" s="77" t="s">
        <v>100</v>
      </c>
      <c r="K131" s="215" t="s">
        <v>158</v>
      </c>
      <c r="L131" s="77" t="s">
        <v>159</v>
      </c>
      <c r="M131" s="284"/>
      <c r="N131" s="77"/>
      <c r="O131" s="77"/>
    </row>
    <row r="132" spans="1:15" ht="15.6" hidden="1" customHeight="1">
      <c r="A132" s="214">
        <v>45684</v>
      </c>
      <c r="B132" s="215" t="s">
        <v>410</v>
      </c>
      <c r="C132" s="215" t="s">
        <v>411</v>
      </c>
      <c r="D132" s="215" t="s">
        <v>124</v>
      </c>
      <c r="E132" s="215">
        <v>17500</v>
      </c>
      <c r="F132" s="242">
        <f t="shared" si="4"/>
        <v>30.690178266092612</v>
      </c>
      <c r="G132" s="215">
        <v>570.21500000000003</v>
      </c>
      <c r="H132" s="215" t="s">
        <v>340</v>
      </c>
      <c r="I132" s="215" t="s">
        <v>412</v>
      </c>
      <c r="J132" s="77" t="s">
        <v>100</v>
      </c>
      <c r="K132" s="215" t="s">
        <v>158</v>
      </c>
      <c r="L132" s="77" t="s">
        <v>159</v>
      </c>
      <c r="M132" s="284"/>
      <c r="N132" s="77"/>
      <c r="O132" s="77"/>
    </row>
    <row r="133" spans="1:15" ht="15.6" hidden="1" customHeight="1">
      <c r="A133" s="214">
        <v>45684</v>
      </c>
      <c r="B133" s="215" t="s">
        <v>413</v>
      </c>
      <c r="C133" s="215" t="s">
        <v>414</v>
      </c>
      <c r="D133" s="215" t="s">
        <v>124</v>
      </c>
      <c r="E133" s="215">
        <v>6000</v>
      </c>
      <c r="F133" s="242">
        <f t="shared" si="4"/>
        <v>10.522346834088896</v>
      </c>
      <c r="G133" s="215">
        <v>570.21500000000003</v>
      </c>
      <c r="H133" s="215" t="s">
        <v>351</v>
      </c>
      <c r="I133" s="215" t="s">
        <v>415</v>
      </c>
      <c r="J133" s="77" t="s">
        <v>100</v>
      </c>
      <c r="K133" s="215" t="s">
        <v>158</v>
      </c>
      <c r="L133" s="77" t="s">
        <v>159</v>
      </c>
      <c r="M133" s="284"/>
      <c r="N133" s="77"/>
      <c r="O133" s="77"/>
    </row>
    <row r="134" spans="1:15" ht="15.6" hidden="1" customHeight="1">
      <c r="A134" s="214">
        <v>45684</v>
      </c>
      <c r="B134" s="215" t="s">
        <v>416</v>
      </c>
      <c r="C134" s="215" t="s">
        <v>130</v>
      </c>
      <c r="D134" s="215" t="s">
        <v>120</v>
      </c>
      <c r="E134" s="215">
        <v>30000</v>
      </c>
      <c r="F134" s="242">
        <f t="shared" si="4"/>
        <v>50.319275804982617</v>
      </c>
      <c r="G134" s="215">
        <v>596.19299999999998</v>
      </c>
      <c r="H134" s="215" t="s">
        <v>205</v>
      </c>
      <c r="I134" s="215" t="s">
        <v>417</v>
      </c>
      <c r="J134" s="77" t="s">
        <v>100</v>
      </c>
      <c r="K134" s="215" t="s">
        <v>158</v>
      </c>
      <c r="L134" s="77" t="s">
        <v>159</v>
      </c>
      <c r="M134" s="284"/>
      <c r="N134" s="77"/>
      <c r="O134" s="77"/>
    </row>
    <row r="135" spans="1:15" ht="15.6" hidden="1" customHeight="1">
      <c r="A135" s="214">
        <v>45684</v>
      </c>
      <c r="B135" s="215" t="s">
        <v>418</v>
      </c>
      <c r="C135" s="215" t="s">
        <v>278</v>
      </c>
      <c r="D135" s="215" t="s">
        <v>208</v>
      </c>
      <c r="E135" s="215">
        <v>30000</v>
      </c>
      <c r="F135" s="242">
        <f t="shared" si="4"/>
        <v>52.611734170444478</v>
      </c>
      <c r="G135" s="215">
        <v>570.21500000000003</v>
      </c>
      <c r="H135" s="215" t="s">
        <v>205</v>
      </c>
      <c r="I135" s="215" t="s">
        <v>419</v>
      </c>
      <c r="J135" s="77" t="s">
        <v>100</v>
      </c>
      <c r="K135" s="215" t="s">
        <v>158</v>
      </c>
      <c r="L135" s="77" t="s">
        <v>159</v>
      </c>
      <c r="M135" s="284"/>
      <c r="N135" s="77"/>
      <c r="O135" s="77"/>
    </row>
    <row r="136" spans="1:15" ht="15.6" hidden="1" customHeight="1">
      <c r="A136" s="214">
        <v>45685</v>
      </c>
      <c r="B136" s="215" t="s">
        <v>420</v>
      </c>
      <c r="C136" s="215" t="s">
        <v>130</v>
      </c>
      <c r="D136" s="215" t="s">
        <v>122</v>
      </c>
      <c r="E136" s="215">
        <v>150000</v>
      </c>
      <c r="F136" s="242">
        <f t="shared" si="4"/>
        <v>251.59637902491309</v>
      </c>
      <c r="G136" s="215">
        <v>596.19299999999998</v>
      </c>
      <c r="H136" s="215" t="s">
        <v>156</v>
      </c>
      <c r="I136" s="215" t="s">
        <v>421</v>
      </c>
      <c r="J136" s="77" t="s">
        <v>100</v>
      </c>
      <c r="K136" s="215" t="s">
        <v>158</v>
      </c>
      <c r="L136" s="77" t="s">
        <v>159</v>
      </c>
      <c r="M136" s="284"/>
      <c r="N136" s="77"/>
      <c r="O136" s="77"/>
    </row>
    <row r="137" spans="1:15" ht="15.6" hidden="1" customHeight="1">
      <c r="A137" s="214">
        <v>45685</v>
      </c>
      <c r="B137" s="215" t="s">
        <v>422</v>
      </c>
      <c r="C137" s="215" t="s">
        <v>184</v>
      </c>
      <c r="D137" s="215" t="s">
        <v>124</v>
      </c>
      <c r="E137" s="215">
        <v>30000</v>
      </c>
      <c r="F137" s="242">
        <f t="shared" si="4"/>
        <v>50.319275804982617</v>
      </c>
      <c r="G137" s="215">
        <v>596.19299999999998</v>
      </c>
      <c r="H137" s="215" t="s">
        <v>340</v>
      </c>
      <c r="I137" s="215" t="s">
        <v>423</v>
      </c>
      <c r="J137" s="77" t="s">
        <v>100</v>
      </c>
      <c r="K137" s="215" t="s">
        <v>158</v>
      </c>
      <c r="L137" s="77" t="s">
        <v>159</v>
      </c>
      <c r="M137" s="284"/>
      <c r="N137" s="77"/>
      <c r="O137" s="77"/>
    </row>
    <row r="138" spans="1:15" ht="15.6" hidden="1" customHeight="1">
      <c r="A138" s="214">
        <v>45685</v>
      </c>
      <c r="B138" s="215" t="s">
        <v>424</v>
      </c>
      <c r="C138" s="215" t="s">
        <v>179</v>
      </c>
      <c r="D138" s="215" t="s">
        <v>124</v>
      </c>
      <c r="E138" s="215">
        <v>2000</v>
      </c>
      <c r="F138" s="242">
        <f t="shared" si="4"/>
        <v>3.3546183869988409</v>
      </c>
      <c r="G138" s="215">
        <v>596.19299999999998</v>
      </c>
      <c r="H138" s="215" t="s">
        <v>340</v>
      </c>
      <c r="I138" s="215" t="s">
        <v>425</v>
      </c>
      <c r="J138" s="77" t="s">
        <v>100</v>
      </c>
      <c r="K138" s="215" t="s">
        <v>158</v>
      </c>
      <c r="L138" s="77" t="s">
        <v>159</v>
      </c>
      <c r="M138" s="284"/>
      <c r="N138" s="77"/>
      <c r="O138" s="77"/>
    </row>
    <row r="139" spans="1:15" ht="15.6" hidden="1" customHeight="1">
      <c r="A139" s="214">
        <v>45685</v>
      </c>
      <c r="B139" s="215" t="s">
        <v>426</v>
      </c>
      <c r="C139" s="215" t="s">
        <v>184</v>
      </c>
      <c r="D139" s="215" t="s">
        <v>124</v>
      </c>
      <c r="E139" s="215">
        <v>30000</v>
      </c>
      <c r="F139" s="242">
        <f t="shared" si="4"/>
        <v>50.319275804982617</v>
      </c>
      <c r="G139" s="215">
        <v>596.19299999999998</v>
      </c>
      <c r="H139" s="215" t="s">
        <v>192</v>
      </c>
      <c r="I139" s="215" t="s">
        <v>427</v>
      </c>
      <c r="J139" s="77" t="s">
        <v>100</v>
      </c>
      <c r="K139" s="215" t="s">
        <v>158</v>
      </c>
      <c r="L139" s="77" t="s">
        <v>159</v>
      </c>
      <c r="M139" s="284"/>
      <c r="N139" s="77"/>
      <c r="O139" s="77"/>
    </row>
    <row r="140" spans="1:15" ht="15.6" hidden="1" customHeight="1">
      <c r="A140" s="214">
        <v>45685</v>
      </c>
      <c r="B140" s="215" t="s">
        <v>428</v>
      </c>
      <c r="C140" s="215" t="s">
        <v>179</v>
      </c>
      <c r="D140" s="215" t="s">
        <v>124</v>
      </c>
      <c r="E140" s="215">
        <v>5000</v>
      </c>
      <c r="F140" s="242">
        <f t="shared" si="4"/>
        <v>8.3865459674971028</v>
      </c>
      <c r="G140" s="215">
        <v>596.19299999999998</v>
      </c>
      <c r="H140" s="215" t="s">
        <v>192</v>
      </c>
      <c r="I140" s="215" t="s">
        <v>429</v>
      </c>
      <c r="J140" s="77" t="s">
        <v>100</v>
      </c>
      <c r="K140" s="215" t="s">
        <v>158</v>
      </c>
      <c r="L140" s="77" t="s">
        <v>159</v>
      </c>
      <c r="M140" s="284"/>
      <c r="N140" s="77"/>
      <c r="O140" s="77"/>
    </row>
    <row r="141" spans="1:15" ht="15.6" hidden="1" customHeight="1">
      <c r="A141" s="214">
        <v>45685</v>
      </c>
      <c r="B141" s="215" t="s">
        <v>430</v>
      </c>
      <c r="C141" s="215" t="s">
        <v>184</v>
      </c>
      <c r="D141" s="215" t="s">
        <v>180</v>
      </c>
      <c r="E141" s="215">
        <v>30000</v>
      </c>
      <c r="F141" s="242">
        <f t="shared" si="4"/>
        <v>50.319275804982617</v>
      </c>
      <c r="G141" s="215">
        <v>596.19299999999998</v>
      </c>
      <c r="H141" s="215" t="s">
        <v>181</v>
      </c>
      <c r="I141" s="215" t="s">
        <v>431</v>
      </c>
      <c r="J141" s="77" t="s">
        <v>100</v>
      </c>
      <c r="K141" s="215" t="s">
        <v>158</v>
      </c>
      <c r="L141" s="77" t="s">
        <v>159</v>
      </c>
      <c r="M141" s="284"/>
      <c r="N141" s="77"/>
      <c r="O141" s="77"/>
    </row>
    <row r="142" spans="1:15" ht="15.6" hidden="1" customHeight="1">
      <c r="A142" s="214">
        <v>45685</v>
      </c>
      <c r="B142" s="215" t="s">
        <v>432</v>
      </c>
      <c r="C142" s="215" t="s">
        <v>179</v>
      </c>
      <c r="D142" s="215" t="s">
        <v>180</v>
      </c>
      <c r="E142" s="215">
        <v>5000</v>
      </c>
      <c r="F142" s="242">
        <f t="shared" ref="F142:F173" si="5">+E142/G142</f>
        <v>8.3865459674971028</v>
      </c>
      <c r="G142" s="215">
        <v>596.19299999999998</v>
      </c>
      <c r="H142" s="215" t="s">
        <v>181</v>
      </c>
      <c r="I142" s="215" t="s">
        <v>433</v>
      </c>
      <c r="J142" s="77" t="s">
        <v>100</v>
      </c>
      <c r="K142" s="215" t="s">
        <v>158</v>
      </c>
      <c r="L142" s="77" t="s">
        <v>159</v>
      </c>
      <c r="M142" s="284"/>
      <c r="N142" s="77"/>
      <c r="O142" s="77"/>
    </row>
    <row r="143" spans="1:15" ht="15.6" hidden="1" customHeight="1">
      <c r="A143" s="214">
        <v>45685</v>
      </c>
      <c r="B143" s="215" t="s">
        <v>434</v>
      </c>
      <c r="C143" s="215" t="s">
        <v>184</v>
      </c>
      <c r="D143" s="215" t="s">
        <v>124</v>
      </c>
      <c r="E143" s="215">
        <v>30000</v>
      </c>
      <c r="F143" s="242">
        <f t="shared" si="5"/>
        <v>50.319275804982617</v>
      </c>
      <c r="G143" s="215">
        <v>596.19299999999998</v>
      </c>
      <c r="H143" s="215" t="s">
        <v>351</v>
      </c>
      <c r="I143" s="215" t="s">
        <v>435</v>
      </c>
      <c r="J143" s="77" t="s">
        <v>100</v>
      </c>
      <c r="K143" s="215" t="s">
        <v>158</v>
      </c>
      <c r="L143" s="77" t="s">
        <v>159</v>
      </c>
      <c r="M143" s="284"/>
      <c r="N143" s="77"/>
      <c r="O143" s="77"/>
    </row>
    <row r="144" spans="1:15" ht="15.6" hidden="1" customHeight="1">
      <c r="A144" s="214">
        <v>45685</v>
      </c>
      <c r="B144" s="215" t="s">
        <v>436</v>
      </c>
      <c r="C144" s="215" t="s">
        <v>179</v>
      </c>
      <c r="D144" s="215" t="s">
        <v>124</v>
      </c>
      <c r="E144" s="215">
        <v>5000</v>
      </c>
      <c r="F144" s="242">
        <f t="shared" si="5"/>
        <v>8.3865459674971028</v>
      </c>
      <c r="G144" s="215">
        <v>596.19299999999998</v>
      </c>
      <c r="H144" s="215" t="s">
        <v>351</v>
      </c>
      <c r="I144" s="215" t="s">
        <v>437</v>
      </c>
      <c r="J144" s="77" t="s">
        <v>100</v>
      </c>
      <c r="K144" s="215" t="s">
        <v>158</v>
      </c>
      <c r="L144" s="77" t="s">
        <v>159</v>
      </c>
      <c r="M144" s="284"/>
      <c r="N144" s="77"/>
      <c r="O144" s="77"/>
    </row>
    <row r="145" spans="1:15" ht="15.6" hidden="1" customHeight="1">
      <c r="A145" s="214">
        <v>45685</v>
      </c>
      <c r="B145" s="215" t="s">
        <v>438</v>
      </c>
      <c r="C145" s="215" t="s">
        <v>1538</v>
      </c>
      <c r="D145" s="215" t="s">
        <v>121</v>
      </c>
      <c r="E145" s="215">
        <v>62500</v>
      </c>
      <c r="F145" s="242">
        <f t="shared" si="5"/>
        <v>104.83182459371379</v>
      </c>
      <c r="G145" s="215">
        <v>596.19299999999998</v>
      </c>
      <c r="H145" s="215" t="s">
        <v>201</v>
      </c>
      <c r="I145" s="215" t="s">
        <v>439</v>
      </c>
      <c r="J145" s="77" t="s">
        <v>100</v>
      </c>
      <c r="K145" s="215" t="s">
        <v>158</v>
      </c>
      <c r="L145" s="77" t="s">
        <v>159</v>
      </c>
      <c r="M145" s="284"/>
      <c r="N145" s="77"/>
      <c r="O145" s="77"/>
    </row>
    <row r="146" spans="1:15" ht="15.6" hidden="1" customHeight="1">
      <c r="A146" s="214">
        <v>45685</v>
      </c>
      <c r="B146" s="215" t="s">
        <v>115</v>
      </c>
      <c r="C146" s="215" t="s">
        <v>131</v>
      </c>
      <c r="D146" s="215" t="s">
        <v>121</v>
      </c>
      <c r="E146" s="215">
        <v>10665</v>
      </c>
      <c r="F146" s="242">
        <f t="shared" si="5"/>
        <v>17.888502548671319</v>
      </c>
      <c r="G146" s="215">
        <v>596.19299999999998</v>
      </c>
      <c r="H146" s="215" t="s">
        <v>151</v>
      </c>
      <c r="I146" s="215" t="s">
        <v>144</v>
      </c>
      <c r="J146" s="77" t="s">
        <v>100</v>
      </c>
      <c r="K146" s="215" t="s">
        <v>158</v>
      </c>
      <c r="L146" s="77" t="s">
        <v>159</v>
      </c>
      <c r="M146" s="284"/>
      <c r="N146" s="77"/>
      <c r="O146" s="77"/>
    </row>
    <row r="147" spans="1:15" ht="15.6" hidden="1" customHeight="1">
      <c r="A147" s="214">
        <v>45686</v>
      </c>
      <c r="B147" s="215" t="s">
        <v>440</v>
      </c>
      <c r="C147" s="215" t="s">
        <v>324</v>
      </c>
      <c r="D147" s="215" t="s">
        <v>121</v>
      </c>
      <c r="E147" s="215">
        <v>75625</v>
      </c>
      <c r="F147" s="242">
        <f t="shared" si="5"/>
        <v>126.84650775839368</v>
      </c>
      <c r="G147" s="215">
        <v>596.19299999999998</v>
      </c>
      <c r="H147" s="215" t="s">
        <v>161</v>
      </c>
      <c r="I147" s="215" t="s">
        <v>441</v>
      </c>
      <c r="J147" s="77" t="s">
        <v>100</v>
      </c>
      <c r="K147" s="215" t="s">
        <v>158</v>
      </c>
      <c r="L147" s="77" t="s">
        <v>159</v>
      </c>
      <c r="M147" s="284"/>
      <c r="N147" s="77"/>
      <c r="O147" s="77"/>
    </row>
    <row r="148" spans="1:15" ht="15.6" hidden="1" customHeight="1">
      <c r="A148" s="214">
        <v>45686</v>
      </c>
      <c r="B148" s="215" t="s">
        <v>442</v>
      </c>
      <c r="C148" s="215" t="s">
        <v>184</v>
      </c>
      <c r="D148" s="215" t="s">
        <v>124</v>
      </c>
      <c r="E148" s="215">
        <v>15000</v>
      </c>
      <c r="F148" s="242">
        <f t="shared" si="5"/>
        <v>25.159637902491308</v>
      </c>
      <c r="G148" s="215">
        <v>596.19299999999998</v>
      </c>
      <c r="H148" s="215" t="s">
        <v>192</v>
      </c>
      <c r="I148" s="215" t="s">
        <v>443</v>
      </c>
      <c r="J148" s="77" t="s">
        <v>100</v>
      </c>
      <c r="K148" s="215" t="s">
        <v>158</v>
      </c>
      <c r="L148" s="77" t="s">
        <v>159</v>
      </c>
      <c r="M148" s="284"/>
      <c r="N148" s="77"/>
      <c r="O148" s="77"/>
    </row>
    <row r="149" spans="1:15" ht="15.6" hidden="1" customHeight="1">
      <c r="A149" s="214">
        <v>45686</v>
      </c>
      <c r="B149" s="215" t="s">
        <v>444</v>
      </c>
      <c r="C149" s="215" t="s">
        <v>179</v>
      </c>
      <c r="D149" s="215" t="s">
        <v>124</v>
      </c>
      <c r="E149" s="215">
        <v>3000</v>
      </c>
      <c r="F149" s="242">
        <f t="shared" si="5"/>
        <v>5.0319275804982615</v>
      </c>
      <c r="G149" s="215">
        <v>596.19299999999998</v>
      </c>
      <c r="H149" s="215" t="s">
        <v>192</v>
      </c>
      <c r="I149" s="215" t="s">
        <v>445</v>
      </c>
      <c r="J149" s="77" t="s">
        <v>100</v>
      </c>
      <c r="K149" s="215" t="s">
        <v>158</v>
      </c>
      <c r="L149" s="77" t="s">
        <v>159</v>
      </c>
      <c r="M149" s="284"/>
      <c r="N149" s="77"/>
      <c r="O149" s="77"/>
    </row>
    <row r="150" spans="1:15" ht="15.6" hidden="1" customHeight="1">
      <c r="A150" s="214">
        <v>45686</v>
      </c>
      <c r="B150" s="215" t="s">
        <v>446</v>
      </c>
      <c r="C150" s="215" t="s">
        <v>414</v>
      </c>
      <c r="D150" s="215" t="s">
        <v>124</v>
      </c>
      <c r="E150" s="215">
        <v>70200</v>
      </c>
      <c r="F150" s="242">
        <f t="shared" si="5"/>
        <v>123.11145795884008</v>
      </c>
      <c r="G150" s="215">
        <v>570.21500000000003</v>
      </c>
      <c r="H150" s="215" t="s">
        <v>192</v>
      </c>
      <c r="I150" s="215" t="s">
        <v>447</v>
      </c>
      <c r="J150" s="77" t="s">
        <v>100</v>
      </c>
      <c r="K150" s="215" t="s">
        <v>158</v>
      </c>
      <c r="L150" s="77" t="s">
        <v>159</v>
      </c>
      <c r="M150" s="284"/>
      <c r="N150" s="77"/>
      <c r="O150" s="77"/>
    </row>
    <row r="151" spans="1:15" ht="15.6" hidden="1" customHeight="1">
      <c r="A151" s="214">
        <v>45686</v>
      </c>
      <c r="B151" s="215" t="s">
        <v>448</v>
      </c>
      <c r="C151" s="215" t="s">
        <v>179</v>
      </c>
      <c r="D151" s="215" t="s">
        <v>124</v>
      </c>
      <c r="E151" s="215">
        <v>2500</v>
      </c>
      <c r="F151" s="242">
        <f t="shared" si="5"/>
        <v>4.1932729837485514</v>
      </c>
      <c r="G151" s="215">
        <v>596.19299999999998</v>
      </c>
      <c r="H151" s="215" t="s">
        <v>181</v>
      </c>
      <c r="I151" s="215" t="s">
        <v>449</v>
      </c>
      <c r="J151" s="77" t="s">
        <v>100</v>
      </c>
      <c r="K151" s="215" t="s">
        <v>158</v>
      </c>
      <c r="L151" s="77" t="s">
        <v>159</v>
      </c>
      <c r="M151" s="284"/>
      <c r="N151" s="77"/>
      <c r="O151" s="77"/>
    </row>
    <row r="152" spans="1:15" ht="15.6" hidden="1" customHeight="1">
      <c r="A152" s="214">
        <v>45686</v>
      </c>
      <c r="B152" s="215" t="s">
        <v>450</v>
      </c>
      <c r="C152" s="215" t="s">
        <v>184</v>
      </c>
      <c r="D152" s="215" t="s">
        <v>180</v>
      </c>
      <c r="E152" s="215">
        <v>15000</v>
      </c>
      <c r="F152" s="242">
        <f t="shared" si="5"/>
        <v>25.159637902491308</v>
      </c>
      <c r="G152" s="215">
        <v>596.19299999999998</v>
      </c>
      <c r="H152" s="215" t="s">
        <v>181</v>
      </c>
      <c r="I152" s="215" t="s">
        <v>451</v>
      </c>
      <c r="J152" s="77" t="s">
        <v>100</v>
      </c>
      <c r="K152" s="215" t="s">
        <v>158</v>
      </c>
      <c r="L152" s="77" t="s">
        <v>159</v>
      </c>
      <c r="M152" s="284"/>
      <c r="N152" s="77"/>
      <c r="O152" s="77"/>
    </row>
    <row r="153" spans="1:15" ht="15.6" hidden="1" customHeight="1">
      <c r="A153" s="214">
        <v>45686</v>
      </c>
      <c r="B153" s="215" t="s">
        <v>452</v>
      </c>
      <c r="C153" s="215" t="s">
        <v>414</v>
      </c>
      <c r="D153" s="215" t="s">
        <v>180</v>
      </c>
      <c r="E153" s="215">
        <v>32000</v>
      </c>
      <c r="F153" s="242">
        <f t="shared" si="5"/>
        <v>56.119183115140778</v>
      </c>
      <c r="G153" s="215">
        <v>570.21500000000003</v>
      </c>
      <c r="H153" s="215" t="s">
        <v>181</v>
      </c>
      <c r="I153" s="215" t="s">
        <v>453</v>
      </c>
      <c r="J153" s="77" t="s">
        <v>100</v>
      </c>
      <c r="K153" s="215" t="s">
        <v>158</v>
      </c>
      <c r="L153" s="77" t="s">
        <v>159</v>
      </c>
      <c r="M153" s="284"/>
      <c r="N153" s="77"/>
      <c r="O153" s="77"/>
    </row>
    <row r="154" spans="1:15" ht="15.6" hidden="1" customHeight="1">
      <c r="A154" s="214">
        <v>45686</v>
      </c>
      <c r="B154" s="215" t="s">
        <v>454</v>
      </c>
      <c r="C154" s="215" t="s">
        <v>184</v>
      </c>
      <c r="D154" s="215" t="s">
        <v>124</v>
      </c>
      <c r="E154" s="215">
        <v>15000</v>
      </c>
      <c r="F154" s="242">
        <f t="shared" si="5"/>
        <v>25.159637902491308</v>
      </c>
      <c r="G154" s="215">
        <v>596.19299999999998</v>
      </c>
      <c r="H154" s="215" t="s">
        <v>351</v>
      </c>
      <c r="I154" s="215" t="s">
        <v>455</v>
      </c>
      <c r="J154" s="77" t="s">
        <v>100</v>
      </c>
      <c r="K154" s="215" t="s">
        <v>158</v>
      </c>
      <c r="L154" s="77" t="s">
        <v>159</v>
      </c>
      <c r="M154" s="284"/>
      <c r="N154" s="77"/>
      <c r="O154" s="77"/>
    </row>
    <row r="155" spans="1:15" ht="15.6" hidden="1" customHeight="1">
      <c r="A155" s="214">
        <v>45686</v>
      </c>
      <c r="B155" s="215" t="s">
        <v>456</v>
      </c>
      <c r="C155" s="215" t="s">
        <v>179</v>
      </c>
      <c r="D155" s="215" t="s">
        <v>124</v>
      </c>
      <c r="E155" s="215">
        <v>3000</v>
      </c>
      <c r="F155" s="242">
        <f t="shared" si="5"/>
        <v>5.0319275804982615</v>
      </c>
      <c r="G155" s="215">
        <v>596.19299999999998</v>
      </c>
      <c r="H155" s="215" t="s">
        <v>351</v>
      </c>
      <c r="I155" s="215" t="s">
        <v>457</v>
      </c>
      <c r="J155" s="77" t="s">
        <v>100</v>
      </c>
      <c r="K155" s="215" t="s">
        <v>158</v>
      </c>
      <c r="L155" s="77" t="s">
        <v>159</v>
      </c>
      <c r="M155" s="284"/>
      <c r="N155" s="77"/>
      <c r="O155" s="77"/>
    </row>
    <row r="156" spans="1:15" ht="15.6" hidden="1" customHeight="1">
      <c r="A156" s="214">
        <v>45686</v>
      </c>
      <c r="B156" s="215" t="s">
        <v>458</v>
      </c>
      <c r="C156" s="215" t="s">
        <v>184</v>
      </c>
      <c r="D156" s="215" t="s">
        <v>124</v>
      </c>
      <c r="E156" s="215">
        <v>15000</v>
      </c>
      <c r="F156" s="242">
        <f t="shared" si="5"/>
        <v>25.159637902491308</v>
      </c>
      <c r="G156" s="215">
        <v>596.19299999999998</v>
      </c>
      <c r="H156" s="215" t="s">
        <v>351</v>
      </c>
      <c r="I156" s="215" t="s">
        <v>459</v>
      </c>
      <c r="J156" s="77" t="s">
        <v>100</v>
      </c>
      <c r="K156" s="215" t="s">
        <v>158</v>
      </c>
      <c r="L156" s="77" t="s">
        <v>159</v>
      </c>
      <c r="M156" s="284"/>
      <c r="N156" s="77"/>
      <c r="O156" s="77"/>
    </row>
    <row r="157" spans="1:15" ht="15.6" hidden="1" customHeight="1">
      <c r="A157" s="214">
        <v>45687</v>
      </c>
      <c r="B157" s="215" t="s">
        <v>460</v>
      </c>
      <c r="C157" s="215" t="s">
        <v>184</v>
      </c>
      <c r="D157" s="215" t="s">
        <v>124</v>
      </c>
      <c r="E157" s="215">
        <v>30000</v>
      </c>
      <c r="F157" s="242">
        <f t="shared" si="5"/>
        <v>50.319275804982617</v>
      </c>
      <c r="G157" s="215">
        <v>596.19299999999998</v>
      </c>
      <c r="H157" s="215" t="s">
        <v>340</v>
      </c>
      <c r="I157" s="215" t="s">
        <v>461</v>
      </c>
      <c r="J157" s="77" t="s">
        <v>100</v>
      </c>
      <c r="K157" s="215" t="s">
        <v>158</v>
      </c>
      <c r="L157" s="77" t="s">
        <v>159</v>
      </c>
      <c r="M157" s="284"/>
      <c r="N157" s="77"/>
      <c r="O157" s="77"/>
    </row>
    <row r="158" spans="1:15" ht="15.6" hidden="1" customHeight="1">
      <c r="A158" s="214">
        <v>45687</v>
      </c>
      <c r="B158" s="215" t="s">
        <v>462</v>
      </c>
      <c r="C158" s="215" t="s">
        <v>179</v>
      </c>
      <c r="D158" s="215" t="s">
        <v>124</v>
      </c>
      <c r="E158" s="215">
        <v>7000</v>
      </c>
      <c r="F158" s="242">
        <f t="shared" si="5"/>
        <v>11.741164354495943</v>
      </c>
      <c r="G158" s="215">
        <v>596.19299999999998</v>
      </c>
      <c r="H158" s="215" t="s">
        <v>340</v>
      </c>
      <c r="I158" s="215" t="s">
        <v>463</v>
      </c>
      <c r="J158" s="77" t="s">
        <v>100</v>
      </c>
      <c r="K158" s="215" t="s">
        <v>158</v>
      </c>
      <c r="L158" s="77" t="s">
        <v>159</v>
      </c>
      <c r="M158" s="284"/>
      <c r="N158" s="77"/>
      <c r="O158" s="77"/>
    </row>
    <row r="159" spans="1:15" ht="15.6" hidden="1" customHeight="1">
      <c r="A159" s="214">
        <v>45687</v>
      </c>
      <c r="B159" s="215" t="s">
        <v>464</v>
      </c>
      <c r="C159" s="215" t="s">
        <v>179</v>
      </c>
      <c r="D159" s="215" t="s">
        <v>124</v>
      </c>
      <c r="E159" s="215">
        <v>39300</v>
      </c>
      <c r="F159" s="242">
        <f t="shared" si="5"/>
        <v>65.918251304527232</v>
      </c>
      <c r="G159" s="215">
        <v>596.19299999999998</v>
      </c>
      <c r="H159" s="215" t="s">
        <v>340</v>
      </c>
      <c r="I159" s="215" t="s">
        <v>465</v>
      </c>
      <c r="J159" s="77" t="s">
        <v>100</v>
      </c>
      <c r="K159" s="215" t="s">
        <v>158</v>
      </c>
      <c r="L159" s="77" t="s">
        <v>159</v>
      </c>
      <c r="M159" s="284"/>
      <c r="N159" s="77"/>
      <c r="O159" s="77"/>
    </row>
    <row r="160" spans="1:15" ht="15.6" hidden="1" customHeight="1">
      <c r="A160" s="214">
        <v>45687</v>
      </c>
      <c r="B160" s="215" t="s">
        <v>466</v>
      </c>
      <c r="C160" s="215" t="s">
        <v>179</v>
      </c>
      <c r="D160" s="215" t="s">
        <v>124</v>
      </c>
      <c r="E160" s="215">
        <v>7000</v>
      </c>
      <c r="F160" s="242">
        <f t="shared" si="5"/>
        <v>11.741164354495943</v>
      </c>
      <c r="G160" s="215">
        <v>596.19299999999998</v>
      </c>
      <c r="H160" s="215" t="s">
        <v>192</v>
      </c>
      <c r="I160" s="215" t="s">
        <v>467</v>
      </c>
      <c r="J160" s="77" t="s">
        <v>100</v>
      </c>
      <c r="K160" s="215" t="s">
        <v>158</v>
      </c>
      <c r="L160" s="77" t="s">
        <v>159</v>
      </c>
      <c r="M160" s="284"/>
      <c r="N160" s="77"/>
      <c r="O160" s="77"/>
    </row>
    <row r="161" spans="1:15" ht="15.6" hidden="1" customHeight="1">
      <c r="A161" s="214">
        <v>45687</v>
      </c>
      <c r="B161" s="215" t="s">
        <v>468</v>
      </c>
      <c r="C161" s="215" t="s">
        <v>184</v>
      </c>
      <c r="D161" s="215" t="s">
        <v>124</v>
      </c>
      <c r="E161" s="215">
        <v>15000</v>
      </c>
      <c r="F161" s="242">
        <f t="shared" si="5"/>
        <v>25.159637902491308</v>
      </c>
      <c r="G161" s="215">
        <v>596.19299999999998</v>
      </c>
      <c r="H161" s="215" t="s">
        <v>192</v>
      </c>
      <c r="I161" s="215" t="s">
        <v>469</v>
      </c>
      <c r="J161" s="77" t="s">
        <v>100</v>
      </c>
      <c r="K161" s="215" t="s">
        <v>158</v>
      </c>
      <c r="L161" s="77" t="s">
        <v>159</v>
      </c>
      <c r="M161" s="284"/>
      <c r="N161" s="77"/>
      <c r="O161" s="77"/>
    </row>
    <row r="162" spans="1:15" ht="15.6" hidden="1" customHeight="1">
      <c r="A162" s="214">
        <v>45687</v>
      </c>
      <c r="B162" s="215" t="s">
        <v>470</v>
      </c>
      <c r="C162" s="215" t="s">
        <v>179</v>
      </c>
      <c r="D162" s="215" t="s">
        <v>124</v>
      </c>
      <c r="E162" s="215">
        <v>54800</v>
      </c>
      <c r="F162" s="242">
        <f t="shared" si="5"/>
        <v>91.916543803768249</v>
      </c>
      <c r="G162" s="215">
        <v>596.19299999999998</v>
      </c>
      <c r="H162" s="215" t="s">
        <v>192</v>
      </c>
      <c r="I162" s="215" t="s">
        <v>471</v>
      </c>
      <c r="J162" s="77" t="s">
        <v>100</v>
      </c>
      <c r="K162" s="215" t="s">
        <v>158</v>
      </c>
      <c r="L162" s="77" t="s">
        <v>159</v>
      </c>
      <c r="M162" s="284"/>
      <c r="N162" s="77"/>
      <c r="O162" s="77"/>
    </row>
    <row r="163" spans="1:15" ht="15.6" hidden="1" customHeight="1">
      <c r="A163" s="214">
        <v>45687</v>
      </c>
      <c r="B163" s="215" t="s">
        <v>472</v>
      </c>
      <c r="C163" s="215" t="s">
        <v>184</v>
      </c>
      <c r="D163" s="215" t="s">
        <v>180</v>
      </c>
      <c r="E163" s="215">
        <v>15000</v>
      </c>
      <c r="F163" s="242">
        <f t="shared" si="5"/>
        <v>25.159637902491308</v>
      </c>
      <c r="G163" s="215">
        <v>596.19299999999998</v>
      </c>
      <c r="H163" s="215" t="s">
        <v>181</v>
      </c>
      <c r="I163" s="215" t="s">
        <v>473</v>
      </c>
      <c r="J163" s="77" t="s">
        <v>100</v>
      </c>
      <c r="K163" s="215" t="s">
        <v>158</v>
      </c>
      <c r="L163" s="77" t="s">
        <v>159</v>
      </c>
      <c r="M163" s="284"/>
      <c r="N163" s="77"/>
      <c r="O163" s="77"/>
    </row>
    <row r="164" spans="1:15" ht="15.6" hidden="1" customHeight="1">
      <c r="A164" s="214">
        <v>45687</v>
      </c>
      <c r="B164" s="215" t="s">
        <v>474</v>
      </c>
      <c r="C164" s="215" t="s">
        <v>179</v>
      </c>
      <c r="D164" s="215" t="s">
        <v>180</v>
      </c>
      <c r="E164" s="215">
        <v>8000</v>
      </c>
      <c r="F164" s="242">
        <f t="shared" si="5"/>
        <v>13.418473547995363</v>
      </c>
      <c r="G164" s="215">
        <v>596.19299999999998</v>
      </c>
      <c r="H164" s="215" t="s">
        <v>181</v>
      </c>
      <c r="I164" s="215" t="s">
        <v>475</v>
      </c>
      <c r="J164" s="77" t="s">
        <v>100</v>
      </c>
      <c r="K164" s="215" t="s">
        <v>158</v>
      </c>
      <c r="L164" s="77" t="s">
        <v>159</v>
      </c>
      <c r="M164" s="284"/>
      <c r="N164" s="77"/>
      <c r="O164" s="77"/>
    </row>
    <row r="165" spans="1:15" ht="15.6" hidden="1" customHeight="1">
      <c r="A165" s="214">
        <v>45687</v>
      </c>
      <c r="B165" s="215" t="s">
        <v>476</v>
      </c>
      <c r="C165" s="215" t="s">
        <v>179</v>
      </c>
      <c r="D165" s="215" t="s">
        <v>180</v>
      </c>
      <c r="E165" s="215">
        <v>63400</v>
      </c>
      <c r="F165" s="242">
        <f t="shared" si="5"/>
        <v>106.34140286786327</v>
      </c>
      <c r="G165" s="215">
        <v>596.19299999999998</v>
      </c>
      <c r="H165" s="215" t="s">
        <v>181</v>
      </c>
      <c r="I165" s="215" t="s">
        <v>477</v>
      </c>
      <c r="J165" s="77" t="s">
        <v>100</v>
      </c>
      <c r="K165" s="215" t="s">
        <v>158</v>
      </c>
      <c r="L165" s="77" t="s">
        <v>159</v>
      </c>
      <c r="M165" s="284"/>
      <c r="N165" s="77"/>
      <c r="O165" s="77"/>
    </row>
    <row r="166" spans="1:15" ht="15.6" hidden="1" customHeight="1">
      <c r="A166" s="214">
        <v>45687</v>
      </c>
      <c r="B166" s="215" t="s">
        <v>478</v>
      </c>
      <c r="C166" s="215" t="s">
        <v>179</v>
      </c>
      <c r="D166" s="215" t="s">
        <v>124</v>
      </c>
      <c r="E166" s="215">
        <v>8000</v>
      </c>
      <c r="F166" s="242">
        <f t="shared" si="5"/>
        <v>13.418473547995363</v>
      </c>
      <c r="G166" s="215">
        <v>596.19299999999998</v>
      </c>
      <c r="H166" s="215" t="s">
        <v>351</v>
      </c>
      <c r="I166" s="215" t="s">
        <v>479</v>
      </c>
      <c r="J166" s="77" t="s">
        <v>100</v>
      </c>
      <c r="K166" s="215" t="s">
        <v>158</v>
      </c>
      <c r="L166" s="77" t="s">
        <v>159</v>
      </c>
      <c r="M166" s="284"/>
      <c r="N166" s="77"/>
      <c r="O166" s="77"/>
    </row>
    <row r="167" spans="1:15" ht="15.6" hidden="1" customHeight="1">
      <c r="A167" s="214">
        <v>45687</v>
      </c>
      <c r="B167" s="215" t="s">
        <v>480</v>
      </c>
      <c r="C167" s="215" t="s">
        <v>179</v>
      </c>
      <c r="D167" s="215" t="s">
        <v>124</v>
      </c>
      <c r="E167" s="215">
        <v>38500</v>
      </c>
      <c r="F167" s="242">
        <f t="shared" si="5"/>
        <v>64.576403949727691</v>
      </c>
      <c r="G167" s="215">
        <v>596.19299999999998</v>
      </c>
      <c r="H167" s="215" t="s">
        <v>351</v>
      </c>
      <c r="I167" s="215" t="s">
        <v>481</v>
      </c>
      <c r="J167" s="77" t="s">
        <v>100</v>
      </c>
      <c r="K167" s="215" t="s">
        <v>158</v>
      </c>
      <c r="L167" s="77" t="s">
        <v>159</v>
      </c>
      <c r="M167" s="284"/>
      <c r="N167" s="77"/>
      <c r="O167" s="77"/>
    </row>
    <row r="168" spans="1:15" ht="15.6" hidden="1" customHeight="1">
      <c r="A168" s="214">
        <v>45687</v>
      </c>
      <c r="B168" s="215" t="s">
        <v>482</v>
      </c>
      <c r="C168" s="215" t="s">
        <v>179</v>
      </c>
      <c r="D168" s="215" t="s">
        <v>120</v>
      </c>
      <c r="E168" s="215">
        <v>33500</v>
      </c>
      <c r="F168" s="242">
        <f t="shared" si="5"/>
        <v>56.189857982230585</v>
      </c>
      <c r="G168" s="215">
        <v>596.19299999999998</v>
      </c>
      <c r="H168" s="215" t="s">
        <v>201</v>
      </c>
      <c r="I168" s="215" t="s">
        <v>483</v>
      </c>
      <c r="J168" s="77" t="s">
        <v>100</v>
      </c>
      <c r="K168" s="215" t="s">
        <v>158</v>
      </c>
      <c r="L168" s="77" t="s">
        <v>159</v>
      </c>
      <c r="M168" s="284"/>
      <c r="N168" s="77"/>
      <c r="O168" s="77"/>
    </row>
    <row r="169" spans="1:15" ht="15.6" hidden="1" customHeight="1">
      <c r="A169" s="214">
        <v>45687</v>
      </c>
      <c r="B169" s="215" t="s">
        <v>484</v>
      </c>
      <c r="C169" s="215" t="s">
        <v>179</v>
      </c>
      <c r="D169" s="215" t="s">
        <v>123</v>
      </c>
      <c r="E169" s="215">
        <v>24500</v>
      </c>
      <c r="F169" s="242">
        <f t="shared" si="5"/>
        <v>41.094075240735805</v>
      </c>
      <c r="G169" s="215">
        <v>596.19299999999998</v>
      </c>
      <c r="H169" s="215" t="s">
        <v>223</v>
      </c>
      <c r="I169" s="215" t="s">
        <v>485</v>
      </c>
      <c r="J169" s="77" t="s">
        <v>100</v>
      </c>
      <c r="K169" s="215" t="s">
        <v>158</v>
      </c>
      <c r="L169" s="77" t="s">
        <v>159</v>
      </c>
      <c r="M169" s="284"/>
      <c r="N169" s="77"/>
      <c r="O169" s="77"/>
    </row>
    <row r="170" spans="1:15" ht="15.6" hidden="1" customHeight="1">
      <c r="A170" s="214">
        <v>45687</v>
      </c>
      <c r="B170" s="215" t="s">
        <v>486</v>
      </c>
      <c r="C170" s="215" t="s">
        <v>337</v>
      </c>
      <c r="D170" s="215" t="s">
        <v>123</v>
      </c>
      <c r="E170" s="215">
        <v>148000</v>
      </c>
      <c r="F170" s="242">
        <f t="shared" si="5"/>
        <v>248.24176063791424</v>
      </c>
      <c r="G170" s="215">
        <v>596.19299999999998</v>
      </c>
      <c r="H170" s="215" t="s">
        <v>223</v>
      </c>
      <c r="I170" s="215" t="s">
        <v>487</v>
      </c>
      <c r="J170" s="77" t="s">
        <v>100</v>
      </c>
      <c r="K170" s="215" t="s">
        <v>158</v>
      </c>
      <c r="L170" s="77" t="s">
        <v>159</v>
      </c>
      <c r="M170" s="284"/>
      <c r="N170" s="77"/>
      <c r="O170" s="77"/>
    </row>
    <row r="171" spans="1:15" ht="15.6" hidden="1" customHeight="1">
      <c r="A171" s="214">
        <v>45688</v>
      </c>
      <c r="B171" s="215" t="s">
        <v>488</v>
      </c>
      <c r="C171" s="215" t="s">
        <v>179</v>
      </c>
      <c r="D171" s="215" t="s">
        <v>122</v>
      </c>
      <c r="E171" s="215">
        <v>25500</v>
      </c>
      <c r="F171" s="242">
        <f t="shared" si="5"/>
        <v>42.771384434235223</v>
      </c>
      <c r="G171" s="215">
        <v>596.19299999999998</v>
      </c>
      <c r="H171" s="215" t="s">
        <v>156</v>
      </c>
      <c r="I171" s="215" t="s">
        <v>489</v>
      </c>
      <c r="J171" s="77" t="s">
        <v>100</v>
      </c>
      <c r="K171" s="215" t="s">
        <v>158</v>
      </c>
      <c r="L171" s="77" t="s">
        <v>159</v>
      </c>
      <c r="M171" s="284"/>
      <c r="N171" s="77"/>
      <c r="O171" s="77"/>
    </row>
    <row r="172" spans="1:15" ht="15.6" hidden="1" customHeight="1">
      <c r="A172" s="214">
        <v>45688</v>
      </c>
      <c r="B172" s="215" t="s">
        <v>490</v>
      </c>
      <c r="C172" s="215" t="s">
        <v>491</v>
      </c>
      <c r="D172" s="215" t="s">
        <v>122</v>
      </c>
      <c r="E172" s="215">
        <v>174625</v>
      </c>
      <c r="F172" s="242">
        <f t="shared" si="5"/>
        <v>292.9001179148363</v>
      </c>
      <c r="G172" s="215">
        <v>596.19299999999998</v>
      </c>
      <c r="H172" s="215" t="s">
        <v>156</v>
      </c>
      <c r="I172" s="215" t="s">
        <v>492</v>
      </c>
      <c r="J172" s="77" t="s">
        <v>100</v>
      </c>
      <c r="K172" s="215" t="s">
        <v>158</v>
      </c>
      <c r="L172" s="77" t="s">
        <v>159</v>
      </c>
      <c r="M172" s="284"/>
      <c r="N172" s="77"/>
      <c r="O172" s="77"/>
    </row>
    <row r="173" spans="1:15" ht="15.6" hidden="1" customHeight="1">
      <c r="A173" s="214">
        <v>45688</v>
      </c>
      <c r="B173" s="215" t="s">
        <v>493</v>
      </c>
      <c r="C173" s="215" t="s">
        <v>179</v>
      </c>
      <c r="D173" s="215" t="s">
        <v>121</v>
      </c>
      <c r="E173" s="215">
        <v>41000</v>
      </c>
      <c r="F173" s="242">
        <f t="shared" si="5"/>
        <v>68.769676933476248</v>
      </c>
      <c r="G173" s="215">
        <v>596.19299999999998</v>
      </c>
      <c r="H173" s="215" t="s">
        <v>161</v>
      </c>
      <c r="I173" s="215" t="s">
        <v>494</v>
      </c>
      <c r="J173" s="77" t="s">
        <v>100</v>
      </c>
      <c r="K173" s="215" t="s">
        <v>158</v>
      </c>
      <c r="L173" s="77" t="s">
        <v>159</v>
      </c>
      <c r="M173" s="284"/>
      <c r="N173" s="77"/>
      <c r="O173" s="77"/>
    </row>
    <row r="174" spans="1:15" ht="15.6" hidden="1" customHeight="1">
      <c r="A174" s="214">
        <v>45688</v>
      </c>
      <c r="B174" s="215" t="s">
        <v>495</v>
      </c>
      <c r="C174" s="215" t="s">
        <v>324</v>
      </c>
      <c r="D174" s="215" t="s">
        <v>121</v>
      </c>
      <c r="E174" s="215">
        <v>6000</v>
      </c>
      <c r="F174" s="242">
        <f t="shared" ref="F174:F181" si="6">+E174/G174</f>
        <v>10.063855160996523</v>
      </c>
      <c r="G174" s="215">
        <v>596.19299999999998</v>
      </c>
      <c r="H174" s="215" t="s">
        <v>161</v>
      </c>
      <c r="I174" s="215" t="s">
        <v>496</v>
      </c>
      <c r="J174" s="77" t="s">
        <v>100</v>
      </c>
      <c r="K174" s="215" t="s">
        <v>158</v>
      </c>
      <c r="L174" s="77" t="s">
        <v>159</v>
      </c>
      <c r="M174" s="284"/>
      <c r="N174" s="77"/>
      <c r="O174" s="77"/>
    </row>
    <row r="175" spans="1:15" ht="15.6" hidden="1" customHeight="1">
      <c r="A175" s="214">
        <v>45688</v>
      </c>
      <c r="B175" s="215" t="s">
        <v>497</v>
      </c>
      <c r="C175" s="215" t="s">
        <v>498</v>
      </c>
      <c r="D175" s="215" t="s">
        <v>121</v>
      </c>
      <c r="E175" s="215">
        <v>45050</v>
      </c>
      <c r="F175" s="242">
        <f t="shared" si="6"/>
        <v>75.562779167148889</v>
      </c>
      <c r="G175" s="215">
        <v>596.19299999999998</v>
      </c>
      <c r="H175" s="215" t="s">
        <v>161</v>
      </c>
      <c r="I175" s="215" t="s">
        <v>499</v>
      </c>
      <c r="J175" s="77" t="s">
        <v>100</v>
      </c>
      <c r="K175" s="215" t="s">
        <v>158</v>
      </c>
      <c r="L175" s="77" t="s">
        <v>159</v>
      </c>
      <c r="M175" s="284"/>
      <c r="N175" s="77"/>
      <c r="O175" s="77"/>
    </row>
    <row r="176" spans="1:15" ht="15.6" hidden="1" customHeight="1">
      <c r="A176" s="214">
        <v>45688</v>
      </c>
      <c r="B176" s="215" t="s">
        <v>500</v>
      </c>
      <c r="C176" s="215" t="s">
        <v>179</v>
      </c>
      <c r="D176" s="215" t="s">
        <v>120</v>
      </c>
      <c r="E176" s="215">
        <v>38000</v>
      </c>
      <c r="F176" s="242">
        <f t="shared" si="6"/>
        <v>63.737749352977978</v>
      </c>
      <c r="G176" s="215">
        <v>596.19299999999998</v>
      </c>
      <c r="H176" s="215" t="s">
        <v>195</v>
      </c>
      <c r="I176" s="215" t="s">
        <v>501</v>
      </c>
      <c r="J176" s="77" t="s">
        <v>100</v>
      </c>
      <c r="K176" s="215" t="s">
        <v>158</v>
      </c>
      <c r="L176" s="77" t="s">
        <v>159</v>
      </c>
      <c r="M176" s="284"/>
      <c r="N176" s="77"/>
      <c r="O176" s="77"/>
    </row>
    <row r="177" spans="1:15" ht="15.6" hidden="1" customHeight="1">
      <c r="A177" s="214">
        <v>45688</v>
      </c>
      <c r="B177" s="215" t="s">
        <v>502</v>
      </c>
      <c r="C177" s="215" t="s">
        <v>503</v>
      </c>
      <c r="D177" s="215" t="s">
        <v>121</v>
      </c>
      <c r="E177" s="215">
        <v>50000</v>
      </c>
      <c r="F177" s="242">
        <f t="shared" si="6"/>
        <v>83.865459674971021</v>
      </c>
      <c r="G177" s="215">
        <v>596.19299999999998</v>
      </c>
      <c r="H177" s="215" t="s">
        <v>198</v>
      </c>
      <c r="I177" s="215" t="s">
        <v>504</v>
      </c>
      <c r="J177" s="77" t="s">
        <v>100</v>
      </c>
      <c r="K177" s="215" t="s">
        <v>158</v>
      </c>
      <c r="L177" s="77" t="s">
        <v>159</v>
      </c>
      <c r="M177" s="284"/>
      <c r="N177" s="77"/>
      <c r="O177" s="77"/>
    </row>
    <row r="178" spans="1:15" ht="15.6" hidden="1" customHeight="1">
      <c r="A178" s="214">
        <v>45688</v>
      </c>
      <c r="B178" s="215" t="s">
        <v>116</v>
      </c>
      <c r="C178" s="215" t="s">
        <v>130</v>
      </c>
      <c r="D178" s="215" t="s">
        <v>124</v>
      </c>
      <c r="E178" s="215">
        <v>255000</v>
      </c>
      <c r="F178" s="242">
        <f t="shared" si="6"/>
        <v>427.71384434235222</v>
      </c>
      <c r="G178" s="215">
        <v>596.19299999999998</v>
      </c>
      <c r="H178" s="215" t="s">
        <v>151</v>
      </c>
      <c r="I178" s="215" t="s">
        <v>147</v>
      </c>
      <c r="J178" s="77" t="s">
        <v>100</v>
      </c>
      <c r="K178" s="215" t="s">
        <v>158</v>
      </c>
      <c r="L178" s="77" t="s">
        <v>159</v>
      </c>
      <c r="M178" s="284"/>
      <c r="N178" s="77"/>
      <c r="O178" s="77"/>
    </row>
    <row r="179" spans="1:15" ht="15.6" hidden="1" customHeight="1">
      <c r="A179" s="214">
        <v>45688</v>
      </c>
      <c r="B179" s="215" t="s">
        <v>117</v>
      </c>
      <c r="C179" s="215" t="s">
        <v>130</v>
      </c>
      <c r="D179" s="215" t="s">
        <v>124</v>
      </c>
      <c r="E179" s="215">
        <v>335000</v>
      </c>
      <c r="F179" s="242">
        <f t="shared" si="6"/>
        <v>561.89857982230592</v>
      </c>
      <c r="G179" s="215">
        <v>596.19299999999998</v>
      </c>
      <c r="H179" s="215" t="s">
        <v>151</v>
      </c>
      <c r="I179" s="215" t="s">
        <v>148</v>
      </c>
      <c r="J179" s="77" t="s">
        <v>100</v>
      </c>
      <c r="K179" s="215" t="s">
        <v>158</v>
      </c>
      <c r="L179" s="77" t="s">
        <v>159</v>
      </c>
      <c r="M179" s="284"/>
      <c r="N179" s="77"/>
      <c r="O179" s="77"/>
    </row>
    <row r="180" spans="1:15" ht="15.6" hidden="1" customHeight="1">
      <c r="A180" s="214">
        <v>45688</v>
      </c>
      <c r="B180" s="215" t="s">
        <v>118</v>
      </c>
      <c r="C180" s="215" t="s">
        <v>130</v>
      </c>
      <c r="D180" s="215" t="s">
        <v>124</v>
      </c>
      <c r="E180" s="215">
        <v>400000</v>
      </c>
      <c r="F180" s="242">
        <f t="shared" si="6"/>
        <v>670.92367739976817</v>
      </c>
      <c r="G180" s="215">
        <v>596.19299999999998</v>
      </c>
      <c r="H180" s="215" t="s">
        <v>151</v>
      </c>
      <c r="I180" s="215" t="s">
        <v>149</v>
      </c>
      <c r="J180" s="77" t="s">
        <v>100</v>
      </c>
      <c r="K180" s="215" t="s">
        <v>158</v>
      </c>
      <c r="L180" s="77" t="s">
        <v>159</v>
      </c>
      <c r="M180" s="284"/>
      <c r="N180" s="77"/>
      <c r="O180" s="77"/>
    </row>
    <row r="181" spans="1:15" ht="15.6" hidden="1" customHeight="1">
      <c r="A181" s="214">
        <v>45688</v>
      </c>
      <c r="B181" s="215" t="s">
        <v>119</v>
      </c>
      <c r="C181" s="215" t="s">
        <v>130</v>
      </c>
      <c r="D181" s="215" t="s">
        <v>124</v>
      </c>
      <c r="E181" s="215">
        <v>255000</v>
      </c>
      <c r="F181" s="242">
        <f t="shared" si="6"/>
        <v>427.71384434235222</v>
      </c>
      <c r="G181" s="215">
        <v>596.19299999999998</v>
      </c>
      <c r="H181" s="215" t="s">
        <v>151</v>
      </c>
      <c r="I181" s="215" t="s">
        <v>150</v>
      </c>
      <c r="J181" s="77" t="s">
        <v>100</v>
      </c>
      <c r="K181" s="215" t="s">
        <v>158</v>
      </c>
      <c r="L181" s="77" t="s">
        <v>159</v>
      </c>
      <c r="M181" s="284"/>
      <c r="N181" s="77"/>
      <c r="O181" s="77"/>
    </row>
    <row r="182" spans="1:15" hidden="1">
      <c r="A182" s="214">
        <v>45691</v>
      </c>
      <c r="B182" s="215" t="s">
        <v>624</v>
      </c>
      <c r="C182" s="215" t="s">
        <v>155</v>
      </c>
      <c r="D182" s="215" t="s">
        <v>122</v>
      </c>
      <c r="E182" s="215">
        <v>42000</v>
      </c>
      <c r="F182" s="216">
        <f t="shared" ref="F182:F213" si="7">E182/G182</f>
        <v>70.446986126975659</v>
      </c>
      <c r="G182" s="215">
        <v>596.19299999999998</v>
      </c>
      <c r="H182" s="77" t="s">
        <v>161</v>
      </c>
      <c r="I182" s="77" t="s">
        <v>625</v>
      </c>
      <c r="J182" s="215" t="s">
        <v>100</v>
      </c>
      <c r="K182" s="215" t="s">
        <v>158</v>
      </c>
      <c r="L182" s="215" t="s">
        <v>159</v>
      </c>
      <c r="N182" s="77"/>
      <c r="O182" s="77"/>
    </row>
    <row r="183" spans="1:15" hidden="1">
      <c r="A183" s="214">
        <v>45691</v>
      </c>
      <c r="B183" s="215" t="s">
        <v>626</v>
      </c>
      <c r="C183" s="215" t="s">
        <v>155</v>
      </c>
      <c r="D183" s="215" t="s">
        <v>120</v>
      </c>
      <c r="E183" s="215">
        <v>74000</v>
      </c>
      <c r="F183" s="216">
        <f t="shared" si="7"/>
        <v>124.12088031895712</v>
      </c>
      <c r="G183" s="215">
        <v>596.19299999999998</v>
      </c>
      <c r="H183" s="77" t="s">
        <v>161</v>
      </c>
      <c r="I183" s="77" t="s">
        <v>627</v>
      </c>
      <c r="J183" s="215" t="s">
        <v>100</v>
      </c>
      <c r="K183" s="215" t="s">
        <v>158</v>
      </c>
      <c r="L183" s="215" t="s">
        <v>159</v>
      </c>
      <c r="N183" s="77"/>
      <c r="O183" s="77"/>
    </row>
    <row r="184" spans="1:15" hidden="1">
      <c r="A184" s="214">
        <v>45691</v>
      </c>
      <c r="B184" s="215" t="s">
        <v>628</v>
      </c>
      <c r="C184" s="215" t="s">
        <v>155</v>
      </c>
      <c r="D184" s="215" t="s">
        <v>124</v>
      </c>
      <c r="E184" s="215">
        <v>88000</v>
      </c>
      <c r="F184" s="216">
        <f t="shared" si="7"/>
        <v>147.60320902794902</v>
      </c>
      <c r="G184" s="215">
        <v>596.19299999999998</v>
      </c>
      <c r="H184" s="77" t="s">
        <v>161</v>
      </c>
      <c r="I184" s="77" t="s">
        <v>629</v>
      </c>
      <c r="J184" s="215" t="s">
        <v>100</v>
      </c>
      <c r="K184" s="215" t="s">
        <v>158</v>
      </c>
      <c r="L184" s="215" t="s">
        <v>159</v>
      </c>
      <c r="N184" s="77"/>
      <c r="O184" s="77"/>
    </row>
    <row r="185" spans="1:15" hidden="1">
      <c r="A185" s="214">
        <v>45691</v>
      </c>
      <c r="B185" s="215" t="s">
        <v>630</v>
      </c>
      <c r="C185" s="215" t="s">
        <v>155</v>
      </c>
      <c r="D185" s="215" t="s">
        <v>123</v>
      </c>
      <c r="E185" s="215">
        <v>10000</v>
      </c>
      <c r="F185" s="216">
        <f t="shared" si="7"/>
        <v>16.773091934994206</v>
      </c>
      <c r="G185" s="215">
        <v>596.19299999999998</v>
      </c>
      <c r="H185" s="77" t="s">
        <v>161</v>
      </c>
      <c r="I185" s="77" t="s">
        <v>631</v>
      </c>
      <c r="J185" s="215" t="s">
        <v>100</v>
      </c>
      <c r="K185" s="215" t="s">
        <v>158</v>
      </c>
      <c r="L185" s="215" t="s">
        <v>159</v>
      </c>
      <c r="N185" s="77"/>
      <c r="O185" s="77"/>
    </row>
    <row r="186" spans="1:15" hidden="1">
      <c r="A186" s="214">
        <v>45691</v>
      </c>
      <c r="B186" s="215" t="s">
        <v>632</v>
      </c>
      <c r="C186" s="215" t="s">
        <v>155</v>
      </c>
      <c r="D186" s="215" t="s">
        <v>120</v>
      </c>
      <c r="E186" s="215">
        <v>10000</v>
      </c>
      <c r="F186" s="216">
        <f t="shared" si="7"/>
        <v>16.773091934994206</v>
      </c>
      <c r="G186" s="215">
        <v>596.19299999999998</v>
      </c>
      <c r="H186" s="77" t="s">
        <v>161</v>
      </c>
      <c r="I186" s="77" t="s">
        <v>633</v>
      </c>
      <c r="J186" s="215" t="s">
        <v>100</v>
      </c>
      <c r="K186" s="215" t="s">
        <v>158</v>
      </c>
      <c r="L186" s="215" t="s">
        <v>159</v>
      </c>
      <c r="N186" s="77"/>
      <c r="O186" s="77"/>
    </row>
    <row r="187" spans="1:15" hidden="1">
      <c r="A187" s="214">
        <v>45691</v>
      </c>
      <c r="B187" s="215" t="s">
        <v>634</v>
      </c>
      <c r="C187" s="215" t="s">
        <v>155</v>
      </c>
      <c r="D187" s="215" t="s">
        <v>124</v>
      </c>
      <c r="E187" s="215">
        <v>16000</v>
      </c>
      <c r="F187" s="216">
        <f t="shared" si="7"/>
        <v>26.836947095990727</v>
      </c>
      <c r="G187" s="215">
        <v>596.19299999999998</v>
      </c>
      <c r="H187" s="77" t="s">
        <v>161</v>
      </c>
      <c r="I187" s="77" t="s">
        <v>635</v>
      </c>
      <c r="J187" s="215" t="s">
        <v>100</v>
      </c>
      <c r="K187" s="215" t="s">
        <v>158</v>
      </c>
      <c r="L187" s="215" t="s">
        <v>159</v>
      </c>
      <c r="N187" s="77"/>
      <c r="O187" s="77"/>
    </row>
    <row r="188" spans="1:15" hidden="1">
      <c r="A188" s="214">
        <v>45691</v>
      </c>
      <c r="B188" s="215" t="s">
        <v>636</v>
      </c>
      <c r="C188" s="215" t="s">
        <v>155</v>
      </c>
      <c r="D188" s="215" t="s">
        <v>123</v>
      </c>
      <c r="E188" s="215">
        <v>11000</v>
      </c>
      <c r="F188" s="216">
        <f t="shared" si="7"/>
        <v>18.450401128493628</v>
      </c>
      <c r="G188" s="215">
        <v>596.19299999999998</v>
      </c>
      <c r="H188" s="77" t="s">
        <v>161</v>
      </c>
      <c r="I188" s="77" t="s">
        <v>637</v>
      </c>
      <c r="J188" s="215" t="s">
        <v>100</v>
      </c>
      <c r="K188" s="215" t="s">
        <v>158</v>
      </c>
      <c r="L188" s="215" t="s">
        <v>159</v>
      </c>
      <c r="N188" s="77"/>
      <c r="O188" s="77"/>
    </row>
    <row r="189" spans="1:15" hidden="1">
      <c r="A189" s="214">
        <v>45692</v>
      </c>
      <c r="B189" s="215" t="s">
        <v>821</v>
      </c>
      <c r="C189" s="215" t="s">
        <v>179</v>
      </c>
      <c r="D189" s="215" t="s">
        <v>120</v>
      </c>
      <c r="E189" s="215">
        <v>7000</v>
      </c>
      <c r="F189" s="216">
        <f t="shared" si="7"/>
        <v>11.741164354495943</v>
      </c>
      <c r="G189" s="215">
        <v>596.19299999999998</v>
      </c>
      <c r="H189" s="77" t="s">
        <v>195</v>
      </c>
      <c r="I189" s="77" t="s">
        <v>822</v>
      </c>
      <c r="J189" s="215" t="s">
        <v>100</v>
      </c>
      <c r="K189" s="215" t="s">
        <v>158</v>
      </c>
      <c r="L189" s="215" t="s">
        <v>159</v>
      </c>
      <c r="N189" s="77"/>
      <c r="O189" s="77"/>
    </row>
    <row r="190" spans="1:15" hidden="1">
      <c r="A190" s="214">
        <v>45692</v>
      </c>
      <c r="B190" s="215" t="s">
        <v>638</v>
      </c>
      <c r="C190" s="215" t="s">
        <v>269</v>
      </c>
      <c r="D190" s="215" t="s">
        <v>120</v>
      </c>
      <c r="E190" s="215">
        <v>70000</v>
      </c>
      <c r="F190" s="216">
        <f t="shared" si="7"/>
        <v>117.41164354495943</v>
      </c>
      <c r="G190" s="215">
        <v>596.19299999999998</v>
      </c>
      <c r="H190" s="77" t="s">
        <v>195</v>
      </c>
      <c r="I190" s="77" t="s">
        <v>639</v>
      </c>
      <c r="J190" s="215" t="s">
        <v>100</v>
      </c>
      <c r="K190" s="215" t="s">
        <v>158</v>
      </c>
      <c r="L190" s="215" t="s">
        <v>159</v>
      </c>
      <c r="N190" s="77"/>
      <c r="O190" s="77"/>
    </row>
    <row r="191" spans="1:15" hidden="1">
      <c r="A191" s="214">
        <v>45692</v>
      </c>
      <c r="B191" s="215" t="s">
        <v>857</v>
      </c>
      <c r="C191" s="215" t="s">
        <v>179</v>
      </c>
      <c r="D191" s="215" t="s">
        <v>120</v>
      </c>
      <c r="E191" s="215">
        <v>7000</v>
      </c>
      <c r="F191" s="216">
        <f t="shared" si="7"/>
        <v>11.741164354495943</v>
      </c>
      <c r="G191" s="215">
        <v>596.19299999999998</v>
      </c>
      <c r="H191" s="77" t="s">
        <v>201</v>
      </c>
      <c r="I191" s="77" t="s">
        <v>858</v>
      </c>
      <c r="J191" s="215" t="s">
        <v>100</v>
      </c>
      <c r="K191" s="215" t="s">
        <v>158</v>
      </c>
      <c r="L191" s="215" t="s">
        <v>159</v>
      </c>
      <c r="N191" s="77"/>
      <c r="O191" s="77"/>
    </row>
    <row r="192" spans="1:15" hidden="1">
      <c r="A192" s="214">
        <v>45692</v>
      </c>
      <c r="B192" s="215" t="s">
        <v>103</v>
      </c>
      <c r="C192" s="215" t="s">
        <v>324</v>
      </c>
      <c r="D192" s="215" t="s">
        <v>121</v>
      </c>
      <c r="E192" s="215">
        <v>260000</v>
      </c>
      <c r="F192" s="216">
        <f t="shared" si="7"/>
        <v>436.10039030984933</v>
      </c>
      <c r="G192" s="215">
        <v>596.19299999999998</v>
      </c>
      <c r="H192" s="77" t="s">
        <v>151</v>
      </c>
      <c r="I192" s="77" t="s">
        <v>568</v>
      </c>
      <c r="J192" s="215" t="s">
        <v>100</v>
      </c>
      <c r="K192" s="215" t="s">
        <v>158</v>
      </c>
      <c r="L192" s="215" t="s">
        <v>159</v>
      </c>
      <c r="N192" s="77"/>
      <c r="O192" s="77"/>
    </row>
    <row r="193" spans="1:15" hidden="1">
      <c r="A193" s="214">
        <v>45692</v>
      </c>
      <c r="B193" s="215" t="s">
        <v>869</v>
      </c>
      <c r="C193" s="215" t="s">
        <v>179</v>
      </c>
      <c r="D193" s="215" t="s">
        <v>124</v>
      </c>
      <c r="E193" s="215">
        <v>9000</v>
      </c>
      <c r="F193" s="216">
        <f t="shared" si="7"/>
        <v>15.095782741494785</v>
      </c>
      <c r="G193" s="215">
        <v>596.19299999999998</v>
      </c>
      <c r="H193" s="77" t="s">
        <v>340</v>
      </c>
      <c r="I193" s="77" t="s">
        <v>870</v>
      </c>
      <c r="J193" s="215" t="s">
        <v>100</v>
      </c>
      <c r="K193" s="215" t="s">
        <v>158</v>
      </c>
      <c r="L193" s="215" t="s">
        <v>159</v>
      </c>
      <c r="N193" s="77"/>
      <c r="O193" s="77"/>
    </row>
    <row r="194" spans="1:15" hidden="1">
      <c r="A194" s="214">
        <v>45693</v>
      </c>
      <c r="B194" s="215" t="s">
        <v>745</v>
      </c>
      <c r="C194" s="215" t="s">
        <v>179</v>
      </c>
      <c r="D194" s="215" t="s">
        <v>124</v>
      </c>
      <c r="E194" s="215">
        <v>6000</v>
      </c>
      <c r="F194" s="216">
        <f t="shared" si="7"/>
        <v>10.063855160996523</v>
      </c>
      <c r="G194" s="215">
        <v>596.19299999999998</v>
      </c>
      <c r="H194" s="77" t="s">
        <v>192</v>
      </c>
      <c r="I194" s="77" t="s">
        <v>746</v>
      </c>
      <c r="J194" s="215" t="s">
        <v>100</v>
      </c>
      <c r="K194" s="215" t="s">
        <v>158</v>
      </c>
      <c r="L194" s="215" t="s">
        <v>159</v>
      </c>
      <c r="N194" s="77"/>
      <c r="O194" s="77"/>
    </row>
    <row r="195" spans="1:15" hidden="1">
      <c r="A195" s="214">
        <v>45693</v>
      </c>
      <c r="B195" s="215" t="s">
        <v>640</v>
      </c>
      <c r="C195" s="215" t="s">
        <v>1538</v>
      </c>
      <c r="D195" s="215" t="s">
        <v>121</v>
      </c>
      <c r="E195" s="215">
        <v>25000</v>
      </c>
      <c r="F195" s="216">
        <f t="shared" si="7"/>
        <v>41.93272983748551</v>
      </c>
      <c r="G195" s="215">
        <v>596.19299999999998</v>
      </c>
      <c r="H195" s="77" t="s">
        <v>161</v>
      </c>
      <c r="I195" s="77" t="s">
        <v>641</v>
      </c>
      <c r="J195" s="215" t="s">
        <v>100</v>
      </c>
      <c r="K195" s="215" t="s">
        <v>158</v>
      </c>
      <c r="L195" s="215" t="s">
        <v>159</v>
      </c>
      <c r="N195" s="77"/>
      <c r="O195" s="77"/>
    </row>
    <row r="196" spans="1:15" hidden="1">
      <c r="A196" s="214">
        <v>45693</v>
      </c>
      <c r="B196" s="215" t="s">
        <v>642</v>
      </c>
      <c r="C196" s="215" t="s">
        <v>1538</v>
      </c>
      <c r="D196" s="215" t="s">
        <v>121</v>
      </c>
      <c r="E196" s="215">
        <v>63000</v>
      </c>
      <c r="F196" s="216">
        <f t="shared" si="7"/>
        <v>105.6704791904635</v>
      </c>
      <c r="G196" s="215">
        <v>596.19299999999998</v>
      </c>
      <c r="H196" s="77" t="s">
        <v>161</v>
      </c>
      <c r="I196" s="77" t="s">
        <v>643</v>
      </c>
      <c r="J196" s="215" t="s">
        <v>100</v>
      </c>
      <c r="K196" s="215" t="s">
        <v>158</v>
      </c>
      <c r="L196" s="215" t="s">
        <v>159</v>
      </c>
      <c r="N196" s="77"/>
      <c r="O196" s="77"/>
    </row>
    <row r="197" spans="1:15" hidden="1">
      <c r="A197" s="214">
        <v>45693</v>
      </c>
      <c r="B197" s="215" t="s">
        <v>747</v>
      </c>
      <c r="C197" s="215" t="s">
        <v>184</v>
      </c>
      <c r="D197" s="215" t="s">
        <v>124</v>
      </c>
      <c r="E197" s="215">
        <v>230000</v>
      </c>
      <c r="F197" s="216">
        <f t="shared" si="7"/>
        <v>385.78111450486671</v>
      </c>
      <c r="G197" s="215">
        <v>596.19299999999998</v>
      </c>
      <c r="H197" s="77" t="s">
        <v>192</v>
      </c>
      <c r="I197" s="77" t="s">
        <v>748</v>
      </c>
      <c r="J197" s="215" t="s">
        <v>100</v>
      </c>
      <c r="K197" s="215" t="s">
        <v>158</v>
      </c>
      <c r="L197" s="215" t="s">
        <v>159</v>
      </c>
      <c r="N197" s="77"/>
      <c r="O197" s="77"/>
    </row>
    <row r="198" spans="1:15" hidden="1">
      <c r="A198" s="214">
        <v>45693</v>
      </c>
      <c r="B198" s="215" t="s">
        <v>867</v>
      </c>
      <c r="C198" s="215" t="s">
        <v>184</v>
      </c>
      <c r="D198" s="215" t="s">
        <v>124</v>
      </c>
      <c r="E198" s="215">
        <v>70000</v>
      </c>
      <c r="F198" s="216">
        <f t="shared" si="7"/>
        <v>117.41164354495943</v>
      </c>
      <c r="G198" s="215">
        <v>596.19299999999998</v>
      </c>
      <c r="H198" s="77" t="s">
        <v>340</v>
      </c>
      <c r="I198" s="77" t="s">
        <v>868</v>
      </c>
      <c r="J198" s="215" t="s">
        <v>100</v>
      </c>
      <c r="K198" s="215" t="s">
        <v>158</v>
      </c>
      <c r="L198" s="215" t="s">
        <v>159</v>
      </c>
      <c r="N198" s="77"/>
      <c r="O198" s="77"/>
    </row>
    <row r="199" spans="1:15" hidden="1">
      <c r="A199" s="214">
        <v>45693</v>
      </c>
      <c r="B199" s="215" t="s">
        <v>871</v>
      </c>
      <c r="C199" s="215" t="s">
        <v>179</v>
      </c>
      <c r="D199" s="215" t="s">
        <v>124</v>
      </c>
      <c r="E199" s="215">
        <v>5000</v>
      </c>
      <c r="F199" s="216">
        <f t="shared" si="7"/>
        <v>8.3865459674971028</v>
      </c>
      <c r="G199" s="215">
        <v>596.19299999999998</v>
      </c>
      <c r="H199" s="77" t="s">
        <v>340</v>
      </c>
      <c r="I199" s="77" t="s">
        <v>870</v>
      </c>
      <c r="J199" s="215" t="s">
        <v>100</v>
      </c>
      <c r="K199" s="215" t="s">
        <v>158</v>
      </c>
      <c r="L199" s="215" t="s">
        <v>159</v>
      </c>
      <c r="N199" s="77"/>
      <c r="O199" s="77"/>
    </row>
    <row r="200" spans="1:15" hidden="1">
      <c r="A200" s="214">
        <v>45693</v>
      </c>
      <c r="B200" s="215" t="s">
        <v>823</v>
      </c>
      <c r="C200" s="215" t="s">
        <v>184</v>
      </c>
      <c r="D200" s="215" t="s">
        <v>120</v>
      </c>
      <c r="E200" s="215">
        <v>20000</v>
      </c>
      <c r="F200" s="216">
        <f t="shared" si="7"/>
        <v>33.546183869988411</v>
      </c>
      <c r="G200" s="215">
        <v>596.19299999999998</v>
      </c>
      <c r="H200" s="77" t="s">
        <v>195</v>
      </c>
      <c r="I200" s="77" t="s">
        <v>824</v>
      </c>
      <c r="J200" s="215" t="s">
        <v>100</v>
      </c>
      <c r="K200" s="215" t="s">
        <v>158</v>
      </c>
      <c r="L200" s="215" t="s">
        <v>159</v>
      </c>
      <c r="N200" s="77"/>
      <c r="O200" s="77"/>
    </row>
    <row r="201" spans="1:15" hidden="1">
      <c r="A201" s="214">
        <v>45693</v>
      </c>
      <c r="B201" s="215" t="s">
        <v>859</v>
      </c>
      <c r="C201" s="215" t="s">
        <v>184</v>
      </c>
      <c r="D201" s="215" t="s">
        <v>120</v>
      </c>
      <c r="E201" s="215">
        <v>20000</v>
      </c>
      <c r="F201" s="216">
        <f t="shared" si="7"/>
        <v>33.546183869988411</v>
      </c>
      <c r="G201" s="215">
        <v>596.19299999999998</v>
      </c>
      <c r="H201" s="77" t="s">
        <v>201</v>
      </c>
      <c r="I201" s="77" t="s">
        <v>860</v>
      </c>
      <c r="J201" s="215" t="s">
        <v>100</v>
      </c>
      <c r="K201" s="215" t="s">
        <v>158</v>
      </c>
      <c r="L201" s="215" t="s">
        <v>159</v>
      </c>
      <c r="N201" s="77"/>
      <c r="O201" s="77"/>
    </row>
    <row r="202" spans="1:15" hidden="1">
      <c r="A202" s="214">
        <v>45693</v>
      </c>
      <c r="B202" s="215" t="s">
        <v>102</v>
      </c>
      <c r="C202" s="215" t="s">
        <v>129</v>
      </c>
      <c r="D202" s="215" t="s">
        <v>121</v>
      </c>
      <c r="E202" s="215">
        <v>500000</v>
      </c>
      <c r="F202" s="216">
        <f t="shared" si="7"/>
        <v>838.65459674971032</v>
      </c>
      <c r="G202" s="215">
        <v>596.19299999999998</v>
      </c>
      <c r="H202" s="77" t="s">
        <v>151</v>
      </c>
      <c r="I202" s="77" t="s">
        <v>569</v>
      </c>
      <c r="J202" s="215" t="s">
        <v>100</v>
      </c>
      <c r="K202" s="215" t="s">
        <v>158</v>
      </c>
      <c r="L202" s="215" t="s">
        <v>159</v>
      </c>
      <c r="N202" s="77"/>
      <c r="O202" s="77"/>
    </row>
    <row r="203" spans="1:15" hidden="1">
      <c r="A203" s="214">
        <v>45694</v>
      </c>
      <c r="B203" s="215" t="s">
        <v>778</v>
      </c>
      <c r="C203" s="215" t="s">
        <v>179</v>
      </c>
      <c r="D203" s="215" t="s">
        <v>124</v>
      </c>
      <c r="E203" s="215">
        <v>9000</v>
      </c>
      <c r="F203" s="216">
        <f t="shared" si="7"/>
        <v>15.095782741494785</v>
      </c>
      <c r="G203" s="215">
        <v>596.19299999999998</v>
      </c>
      <c r="H203" s="77" t="s">
        <v>181</v>
      </c>
      <c r="I203" s="77" t="s">
        <v>779</v>
      </c>
      <c r="J203" s="215" t="s">
        <v>100</v>
      </c>
      <c r="K203" s="215" t="s">
        <v>158</v>
      </c>
      <c r="L203" s="215" t="s">
        <v>159</v>
      </c>
      <c r="N203" s="77"/>
      <c r="O203" s="77"/>
    </row>
    <row r="204" spans="1:15" hidden="1">
      <c r="A204" s="214">
        <v>45694</v>
      </c>
      <c r="B204" s="215" t="s">
        <v>780</v>
      </c>
      <c r="C204" s="215" t="s">
        <v>184</v>
      </c>
      <c r="D204" s="215" t="s">
        <v>124</v>
      </c>
      <c r="E204" s="215">
        <v>190000</v>
      </c>
      <c r="F204" s="216">
        <f t="shared" si="7"/>
        <v>318.68874676488991</v>
      </c>
      <c r="G204" s="215">
        <v>596.19299999999998</v>
      </c>
      <c r="H204" s="77" t="s">
        <v>181</v>
      </c>
      <c r="I204" s="77" t="s">
        <v>781</v>
      </c>
      <c r="J204" s="215" t="s">
        <v>100</v>
      </c>
      <c r="K204" s="215" t="s">
        <v>158</v>
      </c>
      <c r="L204" s="215" t="s">
        <v>159</v>
      </c>
      <c r="N204" s="77"/>
      <c r="O204" s="77"/>
    </row>
    <row r="205" spans="1:15" hidden="1">
      <c r="A205" s="214">
        <v>45694</v>
      </c>
      <c r="B205" s="215" t="s">
        <v>588</v>
      </c>
      <c r="C205" s="215" t="s">
        <v>337</v>
      </c>
      <c r="D205" s="215" t="s">
        <v>123</v>
      </c>
      <c r="E205" s="215">
        <v>148000</v>
      </c>
      <c r="F205" s="216">
        <f t="shared" si="7"/>
        <v>248.24176063791424</v>
      </c>
      <c r="G205" s="215">
        <v>596.19299999999998</v>
      </c>
      <c r="H205" s="77" t="s">
        <v>223</v>
      </c>
      <c r="I205" s="77" t="s">
        <v>589</v>
      </c>
      <c r="J205" s="215" t="s">
        <v>100</v>
      </c>
      <c r="K205" s="215" t="s">
        <v>158</v>
      </c>
      <c r="L205" s="215" t="s">
        <v>159</v>
      </c>
      <c r="N205" s="77"/>
      <c r="O205" s="77"/>
    </row>
    <row r="206" spans="1:15" hidden="1">
      <c r="A206" s="214">
        <v>45695</v>
      </c>
      <c r="B206" s="215" t="s">
        <v>749</v>
      </c>
      <c r="C206" s="215" t="s">
        <v>179</v>
      </c>
      <c r="D206" s="215" t="s">
        <v>124</v>
      </c>
      <c r="E206" s="215">
        <v>5000</v>
      </c>
      <c r="F206" s="216">
        <f t="shared" si="7"/>
        <v>8.3865459674971028</v>
      </c>
      <c r="G206" s="215">
        <v>596.19299999999998</v>
      </c>
      <c r="H206" s="77" t="s">
        <v>192</v>
      </c>
      <c r="I206" s="77" t="s">
        <v>750</v>
      </c>
      <c r="J206" s="215" t="s">
        <v>100</v>
      </c>
      <c r="K206" s="215" t="s">
        <v>158</v>
      </c>
      <c r="L206" s="215" t="s">
        <v>159</v>
      </c>
      <c r="N206" s="77"/>
      <c r="O206" s="77"/>
    </row>
    <row r="207" spans="1:15" hidden="1">
      <c r="A207" s="214">
        <v>45695</v>
      </c>
      <c r="B207" s="215" t="s">
        <v>751</v>
      </c>
      <c r="C207" s="215" t="s">
        <v>184</v>
      </c>
      <c r="D207" s="215" t="s">
        <v>124</v>
      </c>
      <c r="E207" s="215">
        <v>30000</v>
      </c>
      <c r="F207" s="216">
        <f t="shared" si="7"/>
        <v>50.319275804982617</v>
      </c>
      <c r="G207" s="215">
        <v>596.19299999999998</v>
      </c>
      <c r="H207" s="77" t="s">
        <v>192</v>
      </c>
      <c r="I207" s="77" t="s">
        <v>752</v>
      </c>
      <c r="J207" s="215" t="s">
        <v>100</v>
      </c>
      <c r="K207" s="215" t="s">
        <v>158</v>
      </c>
      <c r="L207" s="215" t="s">
        <v>159</v>
      </c>
      <c r="N207" s="77"/>
      <c r="O207" s="77"/>
    </row>
    <row r="208" spans="1:15" hidden="1">
      <c r="A208" s="214">
        <v>45695</v>
      </c>
      <c r="B208" s="215" t="s">
        <v>872</v>
      </c>
      <c r="C208" s="215" t="s">
        <v>184</v>
      </c>
      <c r="D208" s="215" t="s">
        <v>124</v>
      </c>
      <c r="E208" s="215">
        <v>30000</v>
      </c>
      <c r="F208" s="216">
        <f t="shared" si="7"/>
        <v>50.319275804982617</v>
      </c>
      <c r="G208" s="215">
        <v>596.19299999999998</v>
      </c>
      <c r="H208" s="77" t="s">
        <v>340</v>
      </c>
      <c r="I208" s="77" t="s">
        <v>870</v>
      </c>
      <c r="J208" s="215" t="s">
        <v>100</v>
      </c>
      <c r="K208" s="215" t="s">
        <v>158</v>
      </c>
      <c r="L208" s="215" t="s">
        <v>159</v>
      </c>
      <c r="N208" s="77"/>
      <c r="O208" s="77"/>
    </row>
    <row r="209" spans="1:15" hidden="1">
      <c r="A209" s="214">
        <v>45695</v>
      </c>
      <c r="B209" s="215" t="s">
        <v>873</v>
      </c>
      <c r="C209" s="215" t="s">
        <v>179</v>
      </c>
      <c r="D209" s="215" t="s">
        <v>124</v>
      </c>
      <c r="E209" s="215">
        <v>5000</v>
      </c>
      <c r="F209" s="216">
        <f t="shared" si="7"/>
        <v>8.3865459674971028</v>
      </c>
      <c r="G209" s="215">
        <v>596.19299999999998</v>
      </c>
      <c r="H209" s="77" t="s">
        <v>340</v>
      </c>
      <c r="I209" s="77" t="s">
        <v>874</v>
      </c>
      <c r="J209" s="215" t="s">
        <v>100</v>
      </c>
      <c r="K209" s="215" t="s">
        <v>158</v>
      </c>
      <c r="L209" s="215" t="s">
        <v>159</v>
      </c>
      <c r="N209" s="77"/>
      <c r="O209" s="77"/>
    </row>
    <row r="210" spans="1:15" hidden="1">
      <c r="A210" s="214">
        <v>45695</v>
      </c>
      <c r="B210" s="215" t="s">
        <v>875</v>
      </c>
      <c r="C210" s="215" t="s">
        <v>179</v>
      </c>
      <c r="D210" s="215" t="s">
        <v>124</v>
      </c>
      <c r="E210" s="215">
        <v>4500</v>
      </c>
      <c r="F210" s="216">
        <f t="shared" si="7"/>
        <v>7.5478913707473927</v>
      </c>
      <c r="G210" s="215">
        <v>596.19299999999998</v>
      </c>
      <c r="H210" s="77" t="s">
        <v>340</v>
      </c>
      <c r="I210" s="77" t="s">
        <v>876</v>
      </c>
      <c r="J210" s="215" t="s">
        <v>100</v>
      </c>
      <c r="K210" s="215" t="s">
        <v>158</v>
      </c>
      <c r="L210" s="215" t="s">
        <v>159</v>
      </c>
      <c r="N210" s="77"/>
      <c r="O210" s="77"/>
    </row>
    <row r="211" spans="1:15" hidden="1">
      <c r="A211" s="214">
        <v>45695</v>
      </c>
      <c r="B211" s="215" t="s">
        <v>825</v>
      </c>
      <c r="C211" s="215" t="s">
        <v>179</v>
      </c>
      <c r="D211" s="215" t="s">
        <v>120</v>
      </c>
      <c r="E211" s="215">
        <v>7000</v>
      </c>
      <c r="F211" s="216">
        <f t="shared" si="7"/>
        <v>11.741164354495943</v>
      </c>
      <c r="G211" s="215">
        <v>596.19299999999998</v>
      </c>
      <c r="H211" s="77" t="s">
        <v>195</v>
      </c>
      <c r="I211" s="77" t="s">
        <v>826</v>
      </c>
      <c r="J211" s="215" t="s">
        <v>100</v>
      </c>
      <c r="K211" s="215" t="s">
        <v>158</v>
      </c>
      <c r="L211" s="215" t="s">
        <v>159</v>
      </c>
      <c r="N211" s="77"/>
      <c r="O211" s="77"/>
    </row>
    <row r="212" spans="1:15" hidden="1">
      <c r="A212" s="214">
        <v>45695</v>
      </c>
      <c r="B212" s="215" t="s">
        <v>827</v>
      </c>
      <c r="C212" s="215" t="s">
        <v>184</v>
      </c>
      <c r="D212" s="215" t="s">
        <v>120</v>
      </c>
      <c r="E212" s="215">
        <v>30000</v>
      </c>
      <c r="F212" s="216">
        <f t="shared" si="7"/>
        <v>50.319275804982617</v>
      </c>
      <c r="G212" s="215">
        <v>596.19299999999998</v>
      </c>
      <c r="H212" s="77" t="s">
        <v>195</v>
      </c>
      <c r="I212" s="77" t="s">
        <v>828</v>
      </c>
      <c r="J212" s="215" t="s">
        <v>100</v>
      </c>
      <c r="K212" s="215" t="s">
        <v>158</v>
      </c>
      <c r="L212" s="215" t="s">
        <v>159</v>
      </c>
      <c r="N212" s="77"/>
      <c r="O212" s="77"/>
    </row>
    <row r="213" spans="1:15" hidden="1">
      <c r="A213" s="214">
        <v>45695</v>
      </c>
      <c r="B213" s="215" t="s">
        <v>861</v>
      </c>
      <c r="C213" s="215" t="s">
        <v>179</v>
      </c>
      <c r="D213" s="215" t="s">
        <v>120</v>
      </c>
      <c r="E213" s="215">
        <v>7000</v>
      </c>
      <c r="F213" s="216">
        <f t="shared" si="7"/>
        <v>11.741164354495943</v>
      </c>
      <c r="G213" s="215">
        <v>596.19299999999998</v>
      </c>
      <c r="H213" s="77" t="s">
        <v>201</v>
      </c>
      <c r="I213" s="77" t="s">
        <v>862</v>
      </c>
      <c r="J213" s="215" t="s">
        <v>100</v>
      </c>
      <c r="K213" s="215" t="s">
        <v>158</v>
      </c>
      <c r="L213" s="215" t="s">
        <v>159</v>
      </c>
      <c r="N213" s="77"/>
      <c r="O213" s="77"/>
    </row>
    <row r="214" spans="1:15" hidden="1">
      <c r="A214" s="214">
        <v>45695</v>
      </c>
      <c r="B214" s="215" t="s">
        <v>863</v>
      </c>
      <c r="C214" s="215" t="s">
        <v>184</v>
      </c>
      <c r="D214" s="215" t="s">
        <v>120</v>
      </c>
      <c r="E214" s="215">
        <v>30000</v>
      </c>
      <c r="F214" s="216">
        <f t="shared" ref="F214:F245" si="8">E214/G214</f>
        <v>50.319275804982617</v>
      </c>
      <c r="G214" s="215">
        <v>596.19299999999998</v>
      </c>
      <c r="H214" s="77" t="s">
        <v>201</v>
      </c>
      <c r="I214" s="77" t="s">
        <v>864</v>
      </c>
      <c r="J214" s="215" t="s">
        <v>100</v>
      </c>
      <c r="K214" s="215" t="s">
        <v>158</v>
      </c>
      <c r="L214" s="215" t="s">
        <v>159</v>
      </c>
      <c r="N214" s="77"/>
      <c r="O214" s="77"/>
    </row>
    <row r="215" spans="1:15" hidden="1">
      <c r="A215" s="214">
        <v>45695</v>
      </c>
      <c r="B215" s="215" t="s">
        <v>200</v>
      </c>
      <c r="C215" s="215" t="s">
        <v>1539</v>
      </c>
      <c r="D215" s="215" t="s">
        <v>121</v>
      </c>
      <c r="E215" s="215">
        <v>4830.0000000000009</v>
      </c>
      <c r="F215" s="216">
        <f t="shared" si="8"/>
        <v>8.1014034046022019</v>
      </c>
      <c r="G215" s="215">
        <v>596.19299999999998</v>
      </c>
      <c r="H215" s="77" t="s">
        <v>198</v>
      </c>
      <c r="I215" s="77" t="s">
        <v>594</v>
      </c>
      <c r="J215" s="215" t="s">
        <v>100</v>
      </c>
      <c r="K215" s="215" t="s">
        <v>158</v>
      </c>
      <c r="L215" s="215" t="s">
        <v>159</v>
      </c>
      <c r="N215" s="77"/>
      <c r="O215" s="77"/>
    </row>
    <row r="216" spans="1:15" hidden="1">
      <c r="A216" s="214">
        <v>45695</v>
      </c>
      <c r="B216" s="215" t="s">
        <v>919</v>
      </c>
      <c r="C216" s="215" t="s">
        <v>1539</v>
      </c>
      <c r="D216" s="215" t="s">
        <v>121</v>
      </c>
      <c r="E216" s="239">
        <v>13615</v>
      </c>
      <c r="F216" s="216">
        <f t="shared" si="8"/>
        <v>22.180704562790044</v>
      </c>
      <c r="G216" s="217">
        <v>613.82180000000005</v>
      </c>
      <c r="H216" s="77" t="s">
        <v>201</v>
      </c>
      <c r="I216" s="77" t="s">
        <v>699</v>
      </c>
      <c r="J216" s="215" t="s">
        <v>100</v>
      </c>
      <c r="K216" s="215" t="s">
        <v>508</v>
      </c>
      <c r="L216" s="215" t="s">
        <v>159</v>
      </c>
      <c r="N216" s="77"/>
      <c r="O216" s="77"/>
    </row>
    <row r="217" spans="1:15" hidden="1">
      <c r="A217" s="214">
        <v>45696</v>
      </c>
      <c r="B217" s="215" t="s">
        <v>798</v>
      </c>
      <c r="C217" s="215" t="s">
        <v>179</v>
      </c>
      <c r="D217" s="215" t="s">
        <v>124</v>
      </c>
      <c r="E217" s="215">
        <v>8000</v>
      </c>
      <c r="F217" s="216">
        <f t="shared" si="8"/>
        <v>13.418473547995363</v>
      </c>
      <c r="G217" s="215">
        <v>596.19299999999998</v>
      </c>
      <c r="H217" s="77" t="s">
        <v>351</v>
      </c>
      <c r="I217" s="77" t="s">
        <v>799</v>
      </c>
      <c r="J217" s="215" t="s">
        <v>100</v>
      </c>
      <c r="K217" s="215" t="s">
        <v>158</v>
      </c>
      <c r="L217" s="215" t="s">
        <v>159</v>
      </c>
      <c r="N217" s="77"/>
      <c r="O217" s="77"/>
    </row>
    <row r="218" spans="1:15" hidden="1">
      <c r="A218" s="214">
        <v>45696</v>
      </c>
      <c r="B218" s="215" t="s">
        <v>915</v>
      </c>
      <c r="C218" s="215" t="s">
        <v>184</v>
      </c>
      <c r="D218" s="215" t="s">
        <v>124</v>
      </c>
      <c r="E218" s="215">
        <v>70000</v>
      </c>
      <c r="F218" s="216">
        <f t="shared" si="8"/>
        <v>117.41164354495943</v>
      </c>
      <c r="G218" s="215">
        <v>596.19299999999998</v>
      </c>
      <c r="H218" s="77" t="s">
        <v>351</v>
      </c>
      <c r="I218" s="77" t="s">
        <v>800</v>
      </c>
      <c r="J218" s="215" t="s">
        <v>100</v>
      </c>
      <c r="K218" s="215" t="s">
        <v>158</v>
      </c>
      <c r="L218" s="215" t="s">
        <v>159</v>
      </c>
      <c r="N218" s="77"/>
      <c r="O218" s="77"/>
    </row>
    <row r="219" spans="1:15" hidden="1">
      <c r="A219" s="214">
        <v>45696</v>
      </c>
      <c r="B219" s="215" t="s">
        <v>801</v>
      </c>
      <c r="C219" s="215" t="s">
        <v>179</v>
      </c>
      <c r="D219" s="215" t="s">
        <v>124</v>
      </c>
      <c r="E219" s="215">
        <v>4000</v>
      </c>
      <c r="F219" s="216">
        <f t="shared" si="8"/>
        <v>6.7092367739976817</v>
      </c>
      <c r="G219" s="215">
        <v>596.19299999999998</v>
      </c>
      <c r="H219" s="77" t="s">
        <v>351</v>
      </c>
      <c r="I219" s="77" t="s">
        <v>802</v>
      </c>
      <c r="J219" s="215" t="s">
        <v>100</v>
      </c>
      <c r="K219" s="215" t="s">
        <v>158</v>
      </c>
      <c r="L219" s="215" t="s">
        <v>159</v>
      </c>
      <c r="N219" s="77"/>
      <c r="O219" s="77"/>
    </row>
    <row r="220" spans="1:15" hidden="1">
      <c r="A220" s="214">
        <v>45697</v>
      </c>
      <c r="B220" s="215" t="s">
        <v>753</v>
      </c>
      <c r="C220" s="215" t="s">
        <v>184</v>
      </c>
      <c r="D220" s="215" t="s">
        <v>124</v>
      </c>
      <c r="E220" s="215">
        <v>30000</v>
      </c>
      <c r="F220" s="216">
        <f t="shared" si="8"/>
        <v>50.319275804982617</v>
      </c>
      <c r="G220" s="215">
        <v>596.19299999999998</v>
      </c>
      <c r="H220" s="77" t="s">
        <v>192</v>
      </c>
      <c r="I220" s="77" t="s">
        <v>754</v>
      </c>
      <c r="J220" s="215" t="s">
        <v>100</v>
      </c>
      <c r="K220" s="215" t="s">
        <v>158</v>
      </c>
      <c r="L220" s="215" t="s">
        <v>159</v>
      </c>
      <c r="N220" s="77"/>
      <c r="O220" s="77"/>
    </row>
    <row r="221" spans="1:15" hidden="1">
      <c r="A221" s="214">
        <v>45697</v>
      </c>
      <c r="B221" s="215" t="s">
        <v>755</v>
      </c>
      <c r="C221" s="215" t="s">
        <v>179</v>
      </c>
      <c r="D221" s="215" t="s">
        <v>124</v>
      </c>
      <c r="E221" s="215">
        <v>5000</v>
      </c>
      <c r="F221" s="216">
        <f t="shared" si="8"/>
        <v>8.3865459674971028</v>
      </c>
      <c r="G221" s="215">
        <v>596.19299999999998</v>
      </c>
      <c r="H221" s="77" t="s">
        <v>192</v>
      </c>
      <c r="I221" s="77" t="s">
        <v>756</v>
      </c>
      <c r="J221" s="215" t="s">
        <v>100</v>
      </c>
      <c r="K221" s="215" t="s">
        <v>158</v>
      </c>
      <c r="L221" s="215" t="s">
        <v>159</v>
      </c>
      <c r="N221" s="77"/>
      <c r="O221" s="77"/>
    </row>
    <row r="222" spans="1:15" hidden="1">
      <c r="A222" s="214">
        <v>45697</v>
      </c>
      <c r="B222" s="215" t="s">
        <v>757</v>
      </c>
      <c r="C222" s="215" t="s">
        <v>414</v>
      </c>
      <c r="D222" s="215" t="s">
        <v>124</v>
      </c>
      <c r="E222" s="215">
        <v>39500</v>
      </c>
      <c r="F222" s="216">
        <f t="shared" si="8"/>
        <v>66.253713143227117</v>
      </c>
      <c r="G222" s="215">
        <v>596.19299999999998</v>
      </c>
      <c r="H222" s="77" t="s">
        <v>192</v>
      </c>
      <c r="I222" s="77" t="s">
        <v>758</v>
      </c>
      <c r="J222" s="215" t="s">
        <v>100</v>
      </c>
      <c r="K222" s="215" t="s">
        <v>158</v>
      </c>
      <c r="L222" s="215" t="s">
        <v>159</v>
      </c>
      <c r="N222" s="77"/>
      <c r="O222" s="77"/>
    </row>
    <row r="223" spans="1:15" hidden="1">
      <c r="A223" s="214">
        <v>45697</v>
      </c>
      <c r="B223" s="215" t="s">
        <v>877</v>
      </c>
      <c r="C223" s="215" t="s">
        <v>184</v>
      </c>
      <c r="D223" s="215" t="s">
        <v>124</v>
      </c>
      <c r="E223" s="215">
        <v>30000</v>
      </c>
      <c r="F223" s="216">
        <f t="shared" si="8"/>
        <v>50.319275804982617</v>
      </c>
      <c r="G223" s="215">
        <v>596.19299999999998</v>
      </c>
      <c r="H223" s="77" t="s">
        <v>340</v>
      </c>
      <c r="I223" s="77" t="s">
        <v>878</v>
      </c>
      <c r="J223" s="215" t="s">
        <v>100</v>
      </c>
      <c r="K223" s="215" t="s">
        <v>158</v>
      </c>
      <c r="L223" s="215" t="s">
        <v>159</v>
      </c>
      <c r="N223" s="77"/>
      <c r="O223" s="77"/>
    </row>
    <row r="224" spans="1:15" hidden="1">
      <c r="A224" s="214">
        <v>45697</v>
      </c>
      <c r="B224" s="215" t="s">
        <v>879</v>
      </c>
      <c r="C224" s="215" t="s">
        <v>179</v>
      </c>
      <c r="D224" s="215" t="s">
        <v>124</v>
      </c>
      <c r="E224" s="215">
        <v>3000</v>
      </c>
      <c r="F224" s="216">
        <f t="shared" si="8"/>
        <v>5.0319275804982615</v>
      </c>
      <c r="G224" s="215">
        <v>596.19299999999998</v>
      </c>
      <c r="H224" s="77" t="s">
        <v>340</v>
      </c>
      <c r="I224" s="77" t="s">
        <v>880</v>
      </c>
      <c r="J224" s="215" t="s">
        <v>100</v>
      </c>
      <c r="K224" s="215" t="s">
        <v>158</v>
      </c>
      <c r="L224" s="215" t="s">
        <v>159</v>
      </c>
      <c r="N224" s="77"/>
      <c r="O224" s="77"/>
    </row>
    <row r="225" spans="1:15" hidden="1">
      <c r="A225" s="214">
        <v>45698</v>
      </c>
      <c r="B225" s="215" t="s">
        <v>918</v>
      </c>
      <c r="C225" s="215" t="s">
        <v>184</v>
      </c>
      <c r="D225" s="215" t="s">
        <v>124</v>
      </c>
      <c r="E225" s="215">
        <v>15000</v>
      </c>
      <c r="F225" s="216">
        <f t="shared" si="8"/>
        <v>25.159637902491308</v>
      </c>
      <c r="G225" s="215">
        <v>596.19299999999998</v>
      </c>
      <c r="H225" s="77" t="s">
        <v>192</v>
      </c>
      <c r="I225" s="77" t="s">
        <v>759</v>
      </c>
      <c r="J225" s="215" t="s">
        <v>100</v>
      </c>
      <c r="K225" s="215" t="s">
        <v>158</v>
      </c>
      <c r="L225" s="215" t="s">
        <v>159</v>
      </c>
      <c r="N225" s="77"/>
      <c r="O225" s="77"/>
    </row>
    <row r="226" spans="1:15" hidden="1">
      <c r="A226" s="214">
        <v>45698</v>
      </c>
      <c r="B226" s="215" t="s">
        <v>760</v>
      </c>
      <c r="C226" s="215" t="s">
        <v>179</v>
      </c>
      <c r="D226" s="215" t="s">
        <v>124</v>
      </c>
      <c r="E226" s="215">
        <v>5000</v>
      </c>
      <c r="F226" s="216">
        <f t="shared" si="8"/>
        <v>8.3865459674971028</v>
      </c>
      <c r="G226" s="215">
        <v>596.19299999999998</v>
      </c>
      <c r="H226" s="77" t="s">
        <v>192</v>
      </c>
      <c r="I226" s="77" t="s">
        <v>761</v>
      </c>
      <c r="J226" s="215" t="s">
        <v>100</v>
      </c>
      <c r="K226" s="215" t="s">
        <v>158</v>
      </c>
      <c r="L226" s="215" t="s">
        <v>159</v>
      </c>
      <c r="N226" s="77"/>
      <c r="O226" s="77"/>
    </row>
    <row r="227" spans="1:15" hidden="1">
      <c r="A227" s="214">
        <v>45698</v>
      </c>
      <c r="B227" s="215" t="s">
        <v>782</v>
      </c>
      <c r="C227" s="215" t="s">
        <v>184</v>
      </c>
      <c r="D227" s="215" t="s">
        <v>124</v>
      </c>
      <c r="E227" s="215">
        <v>60000</v>
      </c>
      <c r="F227" s="216">
        <f t="shared" si="8"/>
        <v>100.63855160996523</v>
      </c>
      <c r="G227" s="215">
        <v>596.19299999999998</v>
      </c>
      <c r="H227" s="77" t="s">
        <v>181</v>
      </c>
      <c r="I227" s="77" t="s">
        <v>783</v>
      </c>
      <c r="J227" s="215" t="s">
        <v>100</v>
      </c>
      <c r="K227" s="215" t="s">
        <v>158</v>
      </c>
      <c r="L227" s="215" t="s">
        <v>159</v>
      </c>
      <c r="N227" s="77"/>
      <c r="O227" s="77"/>
    </row>
    <row r="228" spans="1:15" hidden="1">
      <c r="A228" s="214">
        <v>45698</v>
      </c>
      <c r="B228" s="215" t="s">
        <v>784</v>
      </c>
      <c r="C228" s="215" t="s">
        <v>179</v>
      </c>
      <c r="D228" s="215" t="s">
        <v>124</v>
      </c>
      <c r="E228" s="215">
        <v>3000</v>
      </c>
      <c r="F228" s="216">
        <f t="shared" si="8"/>
        <v>5.0319275804982615</v>
      </c>
      <c r="G228" s="215">
        <v>596.19299999999998</v>
      </c>
      <c r="H228" s="77" t="s">
        <v>181</v>
      </c>
      <c r="I228" s="77" t="s">
        <v>785</v>
      </c>
      <c r="J228" s="215" t="s">
        <v>100</v>
      </c>
      <c r="K228" s="215" t="s">
        <v>158</v>
      </c>
      <c r="L228" s="215" t="s">
        <v>159</v>
      </c>
      <c r="N228" s="77"/>
      <c r="O228" s="77"/>
    </row>
    <row r="229" spans="1:15" hidden="1">
      <c r="A229" s="214">
        <v>45698</v>
      </c>
      <c r="B229" s="215" t="s">
        <v>644</v>
      </c>
      <c r="C229" s="215" t="s">
        <v>1539</v>
      </c>
      <c r="D229" s="215" t="s">
        <v>121</v>
      </c>
      <c r="E229" s="215">
        <v>4110</v>
      </c>
      <c r="F229" s="216">
        <f t="shared" si="8"/>
        <v>6.8937407852826187</v>
      </c>
      <c r="G229" s="215">
        <v>596.19299999999998</v>
      </c>
      <c r="H229" s="77" t="s">
        <v>201</v>
      </c>
      <c r="I229" s="77" t="s">
        <v>645</v>
      </c>
      <c r="J229" s="215" t="s">
        <v>100</v>
      </c>
      <c r="K229" s="215" t="s">
        <v>158</v>
      </c>
      <c r="L229" s="215" t="s">
        <v>159</v>
      </c>
      <c r="N229" s="77"/>
      <c r="O229" s="77"/>
    </row>
    <row r="230" spans="1:15" hidden="1">
      <c r="A230" s="214">
        <v>45699</v>
      </c>
      <c r="B230" s="215" t="s">
        <v>648</v>
      </c>
      <c r="C230" s="215" t="s">
        <v>130</v>
      </c>
      <c r="D230" s="215" t="s">
        <v>121</v>
      </c>
      <c r="E230" s="215">
        <v>94430</v>
      </c>
      <c r="F230" s="216">
        <f t="shared" si="8"/>
        <v>158.38830714215027</v>
      </c>
      <c r="G230" s="215">
        <v>596.19299999999998</v>
      </c>
      <c r="H230" s="77" t="s">
        <v>161</v>
      </c>
      <c r="I230" s="77" t="s">
        <v>649</v>
      </c>
      <c r="J230" s="215" t="s">
        <v>100</v>
      </c>
      <c r="K230" s="215" t="s">
        <v>158</v>
      </c>
      <c r="L230" s="215" t="s">
        <v>159</v>
      </c>
      <c r="N230" s="77"/>
      <c r="O230" s="77"/>
    </row>
    <row r="231" spans="1:15" hidden="1">
      <c r="A231" s="214">
        <v>45699</v>
      </c>
      <c r="B231" s="215" t="s">
        <v>650</v>
      </c>
      <c r="C231" s="215" t="s">
        <v>130</v>
      </c>
      <c r="D231" s="215" t="s">
        <v>120</v>
      </c>
      <c r="E231" s="215">
        <v>30000</v>
      </c>
      <c r="F231" s="216">
        <f t="shared" si="8"/>
        <v>50.319275804982617</v>
      </c>
      <c r="G231" s="215">
        <v>596.19299999999998</v>
      </c>
      <c r="H231" s="77" t="s">
        <v>161</v>
      </c>
      <c r="I231" s="77" t="s">
        <v>651</v>
      </c>
      <c r="J231" s="215" t="s">
        <v>100</v>
      </c>
      <c r="K231" s="215" t="s">
        <v>158</v>
      </c>
      <c r="L231" s="215" t="s">
        <v>159</v>
      </c>
      <c r="N231" s="77"/>
      <c r="O231" s="77"/>
    </row>
    <row r="232" spans="1:15" hidden="1">
      <c r="A232" s="214">
        <v>45699</v>
      </c>
      <c r="B232" s="215" t="s">
        <v>652</v>
      </c>
      <c r="C232" s="215" t="s">
        <v>130</v>
      </c>
      <c r="D232" s="215" t="s">
        <v>120</v>
      </c>
      <c r="E232" s="215">
        <v>30000</v>
      </c>
      <c r="F232" s="216">
        <f t="shared" si="8"/>
        <v>50.319275804982617</v>
      </c>
      <c r="G232" s="215">
        <v>596.19299999999998</v>
      </c>
      <c r="H232" s="77" t="s">
        <v>161</v>
      </c>
      <c r="I232" s="77" t="s">
        <v>653</v>
      </c>
      <c r="J232" s="215" t="s">
        <v>100</v>
      </c>
      <c r="K232" s="215" t="s">
        <v>158</v>
      </c>
      <c r="L232" s="215" t="s">
        <v>159</v>
      </c>
      <c r="N232" s="77"/>
      <c r="O232" s="77"/>
    </row>
    <row r="233" spans="1:15" hidden="1">
      <c r="A233" s="214">
        <v>45699</v>
      </c>
      <c r="B233" s="215" t="s">
        <v>654</v>
      </c>
      <c r="C233" s="215" t="s">
        <v>130</v>
      </c>
      <c r="D233" s="215" t="s">
        <v>120</v>
      </c>
      <c r="E233" s="215">
        <v>30000</v>
      </c>
      <c r="F233" s="216">
        <f t="shared" si="8"/>
        <v>50.319275804982617</v>
      </c>
      <c r="G233" s="215">
        <v>596.19299999999998</v>
      </c>
      <c r="H233" s="77" t="s">
        <v>161</v>
      </c>
      <c r="I233" s="77" t="s">
        <v>655</v>
      </c>
      <c r="J233" s="215" t="s">
        <v>100</v>
      </c>
      <c r="K233" s="215" t="s">
        <v>158</v>
      </c>
      <c r="L233" s="215" t="s">
        <v>159</v>
      </c>
      <c r="N233" s="77"/>
      <c r="O233" s="77"/>
    </row>
    <row r="234" spans="1:15" hidden="1">
      <c r="A234" s="214">
        <v>45699</v>
      </c>
      <c r="B234" s="215" t="s">
        <v>656</v>
      </c>
      <c r="C234" s="215" t="s">
        <v>130</v>
      </c>
      <c r="D234" s="215" t="s">
        <v>120</v>
      </c>
      <c r="E234" s="215">
        <v>30000</v>
      </c>
      <c r="F234" s="216">
        <f t="shared" si="8"/>
        <v>50.319275804982617</v>
      </c>
      <c r="G234" s="215">
        <v>596.19299999999998</v>
      </c>
      <c r="H234" s="77" t="s">
        <v>161</v>
      </c>
      <c r="I234" s="77" t="s">
        <v>657</v>
      </c>
      <c r="J234" s="215" t="s">
        <v>100</v>
      </c>
      <c r="K234" s="215" t="s">
        <v>158</v>
      </c>
      <c r="L234" s="215" t="s">
        <v>159</v>
      </c>
      <c r="N234" s="77"/>
      <c r="O234" s="77"/>
    </row>
    <row r="235" spans="1:15" hidden="1">
      <c r="A235" s="214">
        <v>45699</v>
      </c>
      <c r="B235" s="215" t="s">
        <v>658</v>
      </c>
      <c r="C235" s="215" t="s">
        <v>130</v>
      </c>
      <c r="D235" s="215" t="s">
        <v>123</v>
      </c>
      <c r="E235" s="215">
        <v>30000</v>
      </c>
      <c r="F235" s="216">
        <f t="shared" si="8"/>
        <v>50.319275804982617</v>
      </c>
      <c r="G235" s="215">
        <v>596.19299999999998</v>
      </c>
      <c r="H235" s="77" t="s">
        <v>161</v>
      </c>
      <c r="I235" s="77" t="s">
        <v>659</v>
      </c>
      <c r="J235" s="215" t="s">
        <v>100</v>
      </c>
      <c r="K235" s="215" t="s">
        <v>158</v>
      </c>
      <c r="L235" s="215" t="s">
        <v>159</v>
      </c>
      <c r="N235" s="77"/>
      <c r="O235" s="77"/>
    </row>
    <row r="236" spans="1:15" hidden="1">
      <c r="A236" s="214">
        <v>45699</v>
      </c>
      <c r="B236" s="215" t="s">
        <v>660</v>
      </c>
      <c r="C236" s="215" t="s">
        <v>278</v>
      </c>
      <c r="D236" s="215" t="s">
        <v>208</v>
      </c>
      <c r="E236" s="215">
        <v>35000</v>
      </c>
      <c r="F236" s="216">
        <f t="shared" si="8"/>
        <v>58.705821772479716</v>
      </c>
      <c r="G236" s="215">
        <v>596.19299999999998</v>
      </c>
      <c r="H236" s="77" t="s">
        <v>161</v>
      </c>
      <c r="I236" s="77" t="s">
        <v>661</v>
      </c>
      <c r="J236" s="215" t="s">
        <v>100</v>
      </c>
      <c r="K236" s="215" t="s">
        <v>158</v>
      </c>
      <c r="L236" s="215" t="s">
        <v>159</v>
      </c>
      <c r="N236" s="77"/>
      <c r="O236" s="77"/>
    </row>
    <row r="237" spans="1:15" hidden="1">
      <c r="A237" s="214">
        <v>45699</v>
      </c>
      <c r="B237" s="215" t="s">
        <v>662</v>
      </c>
      <c r="C237" s="215" t="s">
        <v>278</v>
      </c>
      <c r="D237" s="215" t="s">
        <v>208</v>
      </c>
      <c r="E237" s="215">
        <v>30000</v>
      </c>
      <c r="F237" s="216">
        <f t="shared" si="8"/>
        <v>50.319275804982617</v>
      </c>
      <c r="G237" s="215">
        <v>596.19299999999998</v>
      </c>
      <c r="H237" s="77" t="s">
        <v>161</v>
      </c>
      <c r="I237" s="77" t="s">
        <v>663</v>
      </c>
      <c r="J237" s="215" t="s">
        <v>100</v>
      </c>
      <c r="K237" s="215" t="s">
        <v>158</v>
      </c>
      <c r="L237" s="215" t="s">
        <v>159</v>
      </c>
      <c r="N237" s="77"/>
      <c r="O237" s="77"/>
    </row>
    <row r="238" spans="1:15" hidden="1">
      <c r="A238" s="214">
        <v>45699</v>
      </c>
      <c r="B238" s="215" t="s">
        <v>664</v>
      </c>
      <c r="C238" s="215" t="s">
        <v>278</v>
      </c>
      <c r="D238" s="215" t="s">
        <v>208</v>
      </c>
      <c r="E238" s="215">
        <v>30000</v>
      </c>
      <c r="F238" s="216">
        <f t="shared" si="8"/>
        <v>50.319275804982617</v>
      </c>
      <c r="G238" s="215">
        <v>596.19299999999998</v>
      </c>
      <c r="H238" s="77" t="s">
        <v>161</v>
      </c>
      <c r="I238" s="77" t="s">
        <v>665</v>
      </c>
      <c r="J238" s="215" t="s">
        <v>100</v>
      </c>
      <c r="K238" s="215" t="s">
        <v>158</v>
      </c>
      <c r="L238" s="215" t="s">
        <v>159</v>
      </c>
      <c r="N238" s="77"/>
      <c r="O238" s="77"/>
    </row>
    <row r="239" spans="1:15" hidden="1">
      <c r="A239" s="214">
        <v>45699</v>
      </c>
      <c r="B239" s="215" t="s">
        <v>666</v>
      </c>
      <c r="C239" s="215" t="s">
        <v>278</v>
      </c>
      <c r="D239" s="215" t="s">
        <v>208</v>
      </c>
      <c r="E239" s="215">
        <v>30000</v>
      </c>
      <c r="F239" s="216">
        <f t="shared" si="8"/>
        <v>50.319275804982617</v>
      </c>
      <c r="G239" s="215">
        <v>596.19299999999998</v>
      </c>
      <c r="H239" s="77" t="s">
        <v>161</v>
      </c>
      <c r="I239" s="77" t="s">
        <v>667</v>
      </c>
      <c r="J239" s="215" t="s">
        <v>100</v>
      </c>
      <c r="K239" s="215" t="s">
        <v>158</v>
      </c>
      <c r="L239" s="215" t="s">
        <v>159</v>
      </c>
      <c r="N239" s="77"/>
      <c r="O239" s="77"/>
    </row>
    <row r="240" spans="1:15" hidden="1">
      <c r="A240" s="214">
        <v>45699</v>
      </c>
      <c r="B240" s="215" t="s">
        <v>803</v>
      </c>
      <c r="C240" s="215" t="s">
        <v>184</v>
      </c>
      <c r="D240" s="215" t="s">
        <v>124</v>
      </c>
      <c r="E240" s="215">
        <v>45000</v>
      </c>
      <c r="F240" s="216">
        <f t="shared" si="8"/>
        <v>75.478913707473922</v>
      </c>
      <c r="G240" s="215">
        <v>596.19299999999998</v>
      </c>
      <c r="H240" s="77" t="s">
        <v>351</v>
      </c>
      <c r="I240" s="77" t="s">
        <v>804</v>
      </c>
      <c r="J240" s="215" t="s">
        <v>100</v>
      </c>
      <c r="K240" s="215" t="s">
        <v>158</v>
      </c>
      <c r="L240" s="215" t="s">
        <v>159</v>
      </c>
      <c r="N240" s="77"/>
      <c r="O240" s="77"/>
    </row>
    <row r="241" spans="1:15" hidden="1">
      <c r="A241" s="214">
        <v>45699</v>
      </c>
      <c r="B241" s="215" t="s">
        <v>805</v>
      </c>
      <c r="C241" s="215" t="s">
        <v>179</v>
      </c>
      <c r="D241" s="215" t="s">
        <v>124</v>
      </c>
      <c r="E241" s="215">
        <v>4000</v>
      </c>
      <c r="F241" s="216">
        <f t="shared" si="8"/>
        <v>6.7092367739976817</v>
      </c>
      <c r="G241" s="215">
        <v>596.19299999999998</v>
      </c>
      <c r="H241" s="77" t="s">
        <v>351</v>
      </c>
      <c r="I241" s="77" t="s">
        <v>806</v>
      </c>
      <c r="J241" s="215" t="s">
        <v>100</v>
      </c>
      <c r="K241" s="215" t="s">
        <v>158</v>
      </c>
      <c r="L241" s="215" t="s">
        <v>159</v>
      </c>
      <c r="N241" s="77"/>
      <c r="O241" s="77"/>
    </row>
    <row r="242" spans="1:15" hidden="1">
      <c r="A242" s="214">
        <v>45699</v>
      </c>
      <c r="B242" s="215" t="s">
        <v>807</v>
      </c>
      <c r="C242" s="215" t="s">
        <v>179</v>
      </c>
      <c r="D242" s="215" t="s">
        <v>124</v>
      </c>
      <c r="E242" s="239">
        <v>3000</v>
      </c>
      <c r="F242" s="216">
        <f t="shared" si="8"/>
        <v>4.8874119492008914</v>
      </c>
      <c r="G242" s="217">
        <v>613.82180000000005</v>
      </c>
      <c r="H242" s="77" t="s">
        <v>351</v>
      </c>
      <c r="I242" s="77" t="s">
        <v>808</v>
      </c>
      <c r="J242" s="215" t="s">
        <v>100</v>
      </c>
      <c r="K242" s="215" t="s">
        <v>508</v>
      </c>
      <c r="L242" s="215" t="s">
        <v>159</v>
      </c>
      <c r="N242" s="77"/>
      <c r="O242" s="77"/>
    </row>
    <row r="243" spans="1:15" hidden="1">
      <c r="A243" s="214">
        <v>45699</v>
      </c>
      <c r="B243" s="215" t="s">
        <v>595</v>
      </c>
      <c r="C243" s="215" t="s">
        <v>179</v>
      </c>
      <c r="D243" s="215" t="s">
        <v>120</v>
      </c>
      <c r="E243" s="239">
        <v>7000</v>
      </c>
      <c r="F243" s="216">
        <f t="shared" si="8"/>
        <v>11.403961214802081</v>
      </c>
      <c r="G243" s="217">
        <v>613.82180000000005</v>
      </c>
      <c r="H243" s="77" t="s">
        <v>198</v>
      </c>
      <c r="I243" s="77" t="s">
        <v>596</v>
      </c>
      <c r="J243" s="215" t="s">
        <v>100</v>
      </c>
      <c r="K243" s="215" t="s">
        <v>508</v>
      </c>
      <c r="L243" s="215" t="s">
        <v>159</v>
      </c>
      <c r="N243" s="77"/>
      <c r="O243" s="77"/>
    </row>
    <row r="244" spans="1:15" hidden="1">
      <c r="A244" s="214">
        <v>45699</v>
      </c>
      <c r="B244" s="215" t="s">
        <v>597</v>
      </c>
      <c r="C244" s="215" t="s">
        <v>269</v>
      </c>
      <c r="D244" s="215" t="s">
        <v>120</v>
      </c>
      <c r="E244" s="215">
        <v>70000</v>
      </c>
      <c r="F244" s="216">
        <f t="shared" si="8"/>
        <v>117.41164354495943</v>
      </c>
      <c r="G244" s="215">
        <v>596.19299999999998</v>
      </c>
      <c r="H244" s="77" t="s">
        <v>198</v>
      </c>
      <c r="I244" s="77" t="s">
        <v>598</v>
      </c>
      <c r="J244" s="215" t="s">
        <v>100</v>
      </c>
      <c r="K244" s="215" t="s">
        <v>158</v>
      </c>
      <c r="L244" s="215" t="s">
        <v>159</v>
      </c>
      <c r="N244" s="77"/>
      <c r="O244" s="77"/>
    </row>
    <row r="245" spans="1:15" hidden="1">
      <c r="A245" s="214">
        <v>45699</v>
      </c>
      <c r="B245" s="215" t="s">
        <v>570</v>
      </c>
      <c r="C245" s="215" t="s">
        <v>269</v>
      </c>
      <c r="D245" s="215" t="s">
        <v>120</v>
      </c>
      <c r="E245" s="215">
        <v>200000</v>
      </c>
      <c r="F245" s="216">
        <f t="shared" si="8"/>
        <v>335.46183869988408</v>
      </c>
      <c r="G245" s="215">
        <v>596.19299999999998</v>
      </c>
      <c r="H245" s="77" t="s">
        <v>151</v>
      </c>
      <c r="I245" s="77" t="s">
        <v>571</v>
      </c>
      <c r="J245" s="215" t="s">
        <v>100</v>
      </c>
      <c r="K245" s="215" t="s">
        <v>158</v>
      </c>
      <c r="L245" s="215" t="s">
        <v>159</v>
      </c>
      <c r="N245" s="77"/>
      <c r="O245" s="77"/>
    </row>
    <row r="246" spans="1:15" hidden="1">
      <c r="A246" s="214">
        <v>45699</v>
      </c>
      <c r="B246" s="215" t="s">
        <v>646</v>
      </c>
      <c r="C246" s="215" t="s">
        <v>1539</v>
      </c>
      <c r="D246" s="215" t="s">
        <v>121</v>
      </c>
      <c r="E246" s="215">
        <v>6720</v>
      </c>
      <c r="F246" s="216">
        <f t="shared" ref="F246:F277" si="9">E246/G246</f>
        <v>11.271517780316106</v>
      </c>
      <c r="G246" s="215">
        <v>596.19299999999998</v>
      </c>
      <c r="H246" s="77" t="s">
        <v>201</v>
      </c>
      <c r="I246" s="77" t="s">
        <v>647</v>
      </c>
      <c r="J246" s="215" t="s">
        <v>100</v>
      </c>
      <c r="K246" s="215" t="s">
        <v>158</v>
      </c>
      <c r="L246" s="215" t="s">
        <v>159</v>
      </c>
      <c r="N246" s="77"/>
      <c r="O246" s="77"/>
    </row>
    <row r="247" spans="1:15" hidden="1">
      <c r="A247" s="214">
        <v>45700</v>
      </c>
      <c r="B247" s="215" t="s">
        <v>881</v>
      </c>
      <c r="C247" s="215" t="s">
        <v>184</v>
      </c>
      <c r="D247" s="215" t="s">
        <v>124</v>
      </c>
      <c r="E247" s="215">
        <v>45000</v>
      </c>
      <c r="F247" s="216">
        <f t="shared" si="9"/>
        <v>75.478913707473922</v>
      </c>
      <c r="G247" s="215">
        <v>596.19299999999998</v>
      </c>
      <c r="H247" s="77" t="s">
        <v>340</v>
      </c>
      <c r="I247" s="77" t="s">
        <v>882</v>
      </c>
      <c r="J247" s="215" t="s">
        <v>100</v>
      </c>
      <c r="K247" s="215" t="s">
        <v>158</v>
      </c>
      <c r="L247" s="215" t="s">
        <v>159</v>
      </c>
      <c r="N247" s="77"/>
      <c r="O247" s="77"/>
    </row>
    <row r="248" spans="1:15" hidden="1">
      <c r="A248" s="214">
        <v>45700</v>
      </c>
      <c r="B248" s="215" t="s">
        <v>883</v>
      </c>
      <c r="C248" s="215" t="s">
        <v>179</v>
      </c>
      <c r="D248" s="215" t="s">
        <v>124</v>
      </c>
      <c r="E248" s="215">
        <v>7000</v>
      </c>
      <c r="F248" s="216">
        <f t="shared" si="9"/>
        <v>11.741164354495943</v>
      </c>
      <c r="G248" s="215">
        <v>596.19299999999998</v>
      </c>
      <c r="H248" s="77" t="s">
        <v>340</v>
      </c>
      <c r="I248" s="77" t="s">
        <v>882</v>
      </c>
      <c r="J248" s="215" t="s">
        <v>100</v>
      </c>
      <c r="K248" s="215" t="s">
        <v>158</v>
      </c>
      <c r="L248" s="215" t="s">
        <v>159</v>
      </c>
      <c r="N248" s="77"/>
      <c r="O248" s="77"/>
    </row>
    <row r="249" spans="1:15" hidden="1">
      <c r="A249" s="214">
        <v>45700</v>
      </c>
      <c r="B249" s="215" t="s">
        <v>929</v>
      </c>
      <c r="C249" s="215" t="s">
        <v>184</v>
      </c>
      <c r="D249" s="215" t="s">
        <v>120</v>
      </c>
      <c r="E249" s="215">
        <v>170000</v>
      </c>
      <c r="F249" s="216">
        <f t="shared" si="9"/>
        <v>285.14256289490152</v>
      </c>
      <c r="G249" s="215">
        <v>596.19299999999998</v>
      </c>
      <c r="H249" s="77" t="s">
        <v>198</v>
      </c>
      <c r="I249" s="77" t="s">
        <v>599</v>
      </c>
      <c r="J249" s="215" t="s">
        <v>100</v>
      </c>
      <c r="K249" s="215" t="s">
        <v>158</v>
      </c>
      <c r="L249" s="215" t="s">
        <v>159</v>
      </c>
      <c r="N249" s="77"/>
      <c r="O249" s="77"/>
    </row>
    <row r="250" spans="1:15" hidden="1">
      <c r="A250" s="214">
        <v>45700</v>
      </c>
      <c r="B250" s="215" t="s">
        <v>841</v>
      </c>
      <c r="C250" s="215" t="s">
        <v>179</v>
      </c>
      <c r="D250" s="215" t="s">
        <v>120</v>
      </c>
      <c r="E250" s="215">
        <v>8000</v>
      </c>
      <c r="F250" s="216">
        <f t="shared" si="9"/>
        <v>13.418473547995363</v>
      </c>
      <c r="G250" s="215">
        <v>596.19299999999998</v>
      </c>
      <c r="H250" s="77" t="s">
        <v>201</v>
      </c>
      <c r="I250" s="77" t="s">
        <v>842</v>
      </c>
      <c r="J250" s="215" t="s">
        <v>100</v>
      </c>
      <c r="K250" s="215" t="s">
        <v>158</v>
      </c>
      <c r="L250" s="215" t="s">
        <v>159</v>
      </c>
      <c r="N250" s="77"/>
      <c r="O250" s="77"/>
    </row>
    <row r="251" spans="1:15" hidden="1">
      <c r="A251" s="214">
        <v>45700</v>
      </c>
      <c r="B251" s="215" t="s">
        <v>200</v>
      </c>
      <c r="C251" s="215" t="s">
        <v>1539</v>
      </c>
      <c r="D251" s="215" t="s">
        <v>121</v>
      </c>
      <c r="E251" s="215">
        <v>1980</v>
      </c>
      <c r="F251" s="216">
        <f t="shared" si="9"/>
        <v>3.3210722031288529</v>
      </c>
      <c r="G251" s="215">
        <v>596.19299999999998</v>
      </c>
      <c r="H251" s="77" t="s">
        <v>201</v>
      </c>
      <c r="I251" s="77" t="s">
        <v>668</v>
      </c>
      <c r="J251" s="215" t="s">
        <v>100</v>
      </c>
      <c r="K251" s="215" t="s">
        <v>158</v>
      </c>
      <c r="L251" s="215" t="s">
        <v>159</v>
      </c>
      <c r="N251" s="77"/>
      <c r="O251" s="77"/>
    </row>
    <row r="252" spans="1:15" hidden="1">
      <c r="A252" s="214">
        <v>45700</v>
      </c>
      <c r="B252" s="215" t="s">
        <v>669</v>
      </c>
      <c r="C252" s="215" t="s">
        <v>269</v>
      </c>
      <c r="D252" s="215" t="s">
        <v>120</v>
      </c>
      <c r="E252" s="215">
        <v>80000</v>
      </c>
      <c r="F252" s="216">
        <f t="shared" si="9"/>
        <v>134.18473547995364</v>
      </c>
      <c r="G252" s="215">
        <v>596.19299999999998</v>
      </c>
      <c r="H252" s="77" t="s">
        <v>201</v>
      </c>
      <c r="I252" s="77" t="s">
        <v>670</v>
      </c>
      <c r="J252" s="215" t="s">
        <v>100</v>
      </c>
      <c r="K252" s="215" t="s">
        <v>158</v>
      </c>
      <c r="L252" s="215" t="s">
        <v>159</v>
      </c>
      <c r="N252" s="77"/>
      <c r="O252" s="77"/>
    </row>
    <row r="253" spans="1:15" hidden="1">
      <c r="A253" s="214">
        <v>45701</v>
      </c>
      <c r="B253" s="215" t="s">
        <v>916</v>
      </c>
      <c r="C253" s="215" t="s">
        <v>130</v>
      </c>
      <c r="D253" s="215" t="s">
        <v>122</v>
      </c>
      <c r="E253" s="215">
        <v>129464</v>
      </c>
      <c r="F253" s="216">
        <f t="shared" si="9"/>
        <v>217.15115742720897</v>
      </c>
      <c r="G253" s="215">
        <v>596.19299999999998</v>
      </c>
      <c r="H253" s="77" t="s">
        <v>161</v>
      </c>
      <c r="I253" s="77" t="s">
        <v>671</v>
      </c>
      <c r="J253" s="215" t="s">
        <v>100</v>
      </c>
      <c r="K253" s="215" t="s">
        <v>158</v>
      </c>
      <c r="L253" s="215" t="s">
        <v>159</v>
      </c>
      <c r="N253" s="77"/>
      <c r="O253" s="77"/>
    </row>
    <row r="254" spans="1:15" hidden="1">
      <c r="A254" s="214">
        <v>45701</v>
      </c>
      <c r="B254" s="215" t="s">
        <v>924</v>
      </c>
      <c r="C254" s="215" t="s">
        <v>130</v>
      </c>
      <c r="D254" s="215" t="s">
        <v>122</v>
      </c>
      <c r="E254" s="215">
        <v>80500</v>
      </c>
      <c r="F254" s="216">
        <f t="shared" si="9"/>
        <v>135.02339007670335</v>
      </c>
      <c r="G254" s="215">
        <v>596.19299999999998</v>
      </c>
      <c r="H254" s="77" t="s">
        <v>161</v>
      </c>
      <c r="I254" s="77" t="s">
        <v>672</v>
      </c>
      <c r="J254" s="215" t="s">
        <v>100</v>
      </c>
      <c r="K254" s="215" t="s">
        <v>158</v>
      </c>
      <c r="L254" s="215" t="s">
        <v>159</v>
      </c>
      <c r="N254" s="77"/>
      <c r="O254" s="77"/>
    </row>
    <row r="255" spans="1:15" hidden="1">
      <c r="A255" s="214">
        <v>45701</v>
      </c>
      <c r="B255" s="215" t="s">
        <v>809</v>
      </c>
      <c r="C255" s="215" t="s">
        <v>184</v>
      </c>
      <c r="D255" s="215" t="s">
        <v>124</v>
      </c>
      <c r="E255" s="215">
        <v>30000</v>
      </c>
      <c r="F255" s="216">
        <f t="shared" si="9"/>
        <v>50.319275804982617</v>
      </c>
      <c r="G255" s="215">
        <v>596.19299999999998</v>
      </c>
      <c r="H255" s="77" t="s">
        <v>351</v>
      </c>
      <c r="I255" s="77" t="s">
        <v>810</v>
      </c>
      <c r="J255" s="215" t="s">
        <v>100</v>
      </c>
      <c r="K255" s="215" t="s">
        <v>158</v>
      </c>
      <c r="L255" s="215" t="s">
        <v>159</v>
      </c>
      <c r="N255" s="77"/>
      <c r="O255" s="77"/>
    </row>
    <row r="256" spans="1:15" hidden="1">
      <c r="A256" s="214">
        <v>45701</v>
      </c>
      <c r="B256" s="215" t="s">
        <v>811</v>
      </c>
      <c r="C256" s="215" t="s">
        <v>179</v>
      </c>
      <c r="D256" s="215" t="s">
        <v>124</v>
      </c>
      <c r="E256" s="215">
        <v>3000</v>
      </c>
      <c r="F256" s="216">
        <f t="shared" si="9"/>
        <v>5.0319275804982615</v>
      </c>
      <c r="G256" s="215">
        <v>596.19299999999998</v>
      </c>
      <c r="H256" s="77" t="s">
        <v>351</v>
      </c>
      <c r="I256" s="77" t="s">
        <v>812</v>
      </c>
      <c r="J256" s="215" t="s">
        <v>100</v>
      </c>
      <c r="K256" s="215" t="s">
        <v>158</v>
      </c>
      <c r="L256" s="215" t="s">
        <v>159</v>
      </c>
      <c r="N256" s="77"/>
      <c r="O256" s="77"/>
    </row>
    <row r="257" spans="1:15" hidden="1">
      <c r="A257" s="214">
        <v>45701</v>
      </c>
      <c r="B257" s="215" t="s">
        <v>843</v>
      </c>
      <c r="C257" s="215" t="s">
        <v>184</v>
      </c>
      <c r="D257" s="215" t="s">
        <v>120</v>
      </c>
      <c r="E257" s="239">
        <v>20000</v>
      </c>
      <c r="F257" s="216">
        <f t="shared" si="9"/>
        <v>32.582746328005946</v>
      </c>
      <c r="G257" s="217">
        <v>613.82180000000005</v>
      </c>
      <c r="H257" s="77" t="s">
        <v>201</v>
      </c>
      <c r="I257" s="77" t="s">
        <v>844</v>
      </c>
      <c r="J257" s="215" t="s">
        <v>100</v>
      </c>
      <c r="K257" s="215" t="s">
        <v>508</v>
      </c>
      <c r="L257" s="215" t="s">
        <v>159</v>
      </c>
      <c r="N257" s="77"/>
      <c r="O257" s="77"/>
    </row>
    <row r="258" spans="1:15" hidden="1">
      <c r="A258" s="214">
        <v>45701</v>
      </c>
      <c r="B258" s="215" t="s">
        <v>590</v>
      </c>
      <c r="C258" s="215" t="s">
        <v>337</v>
      </c>
      <c r="D258" s="215" t="s">
        <v>123</v>
      </c>
      <c r="E258" s="239">
        <v>154000</v>
      </c>
      <c r="F258" s="216">
        <f t="shared" si="9"/>
        <v>250.88714672564575</v>
      </c>
      <c r="G258" s="217">
        <v>613.82180000000005</v>
      </c>
      <c r="H258" s="77" t="s">
        <v>223</v>
      </c>
      <c r="I258" s="77" t="s">
        <v>591</v>
      </c>
      <c r="J258" s="215" t="s">
        <v>100</v>
      </c>
      <c r="K258" s="215" t="s">
        <v>508</v>
      </c>
      <c r="L258" s="215" t="s">
        <v>159</v>
      </c>
      <c r="N258" s="77"/>
      <c r="O258" s="77"/>
    </row>
    <row r="259" spans="1:15" hidden="1">
      <c r="A259" s="214">
        <v>45701</v>
      </c>
      <c r="B259" s="215" t="s">
        <v>572</v>
      </c>
      <c r="C259" s="215" t="s">
        <v>324</v>
      </c>
      <c r="D259" s="215" t="s">
        <v>121</v>
      </c>
      <c r="E259" s="215">
        <v>227686</v>
      </c>
      <c r="F259" s="216">
        <f t="shared" si="9"/>
        <v>381.89982103110907</v>
      </c>
      <c r="G259" s="215">
        <v>596.19299999999998</v>
      </c>
      <c r="H259" s="77" t="s">
        <v>151</v>
      </c>
      <c r="I259" s="77" t="s">
        <v>573</v>
      </c>
      <c r="J259" s="215" t="s">
        <v>100</v>
      </c>
      <c r="K259" s="215" t="s">
        <v>158</v>
      </c>
      <c r="L259" s="215" t="s">
        <v>159</v>
      </c>
      <c r="N259" s="77"/>
      <c r="O259" s="77"/>
    </row>
    <row r="260" spans="1:15" hidden="1">
      <c r="A260" s="214">
        <v>45701</v>
      </c>
      <c r="B260" s="215" t="s">
        <v>845</v>
      </c>
      <c r="C260" s="215" t="s">
        <v>179</v>
      </c>
      <c r="D260" s="215" t="s">
        <v>120</v>
      </c>
      <c r="E260" s="215">
        <v>4000</v>
      </c>
      <c r="F260" s="216">
        <f t="shared" si="9"/>
        <v>6.7092367739976817</v>
      </c>
      <c r="G260" s="215">
        <v>596.19299999999998</v>
      </c>
      <c r="H260" s="77" t="s">
        <v>201</v>
      </c>
      <c r="I260" s="77" t="s">
        <v>846</v>
      </c>
      <c r="J260" s="215" t="s">
        <v>100</v>
      </c>
      <c r="K260" s="215" t="s">
        <v>158</v>
      </c>
      <c r="L260" s="215" t="s">
        <v>159</v>
      </c>
      <c r="N260" s="77"/>
      <c r="O260" s="77"/>
    </row>
    <row r="261" spans="1:15" hidden="1">
      <c r="A261" s="214">
        <v>45702</v>
      </c>
      <c r="B261" s="215" t="s">
        <v>920</v>
      </c>
      <c r="C261" s="215" t="s">
        <v>414</v>
      </c>
      <c r="D261" s="215" t="s">
        <v>124</v>
      </c>
      <c r="E261" s="215">
        <v>30000</v>
      </c>
      <c r="F261" s="216">
        <f t="shared" si="9"/>
        <v>50.319275804982617</v>
      </c>
      <c r="G261" s="215">
        <v>596.19299999999998</v>
      </c>
      <c r="H261" s="77" t="s">
        <v>156</v>
      </c>
      <c r="I261" s="77" t="s">
        <v>725</v>
      </c>
      <c r="J261" s="215" t="s">
        <v>100</v>
      </c>
      <c r="K261" s="215" t="s">
        <v>158</v>
      </c>
      <c r="L261" s="215" t="s">
        <v>159</v>
      </c>
      <c r="N261" s="77"/>
      <c r="O261" s="77"/>
    </row>
    <row r="262" spans="1:15" hidden="1">
      <c r="A262" s="214">
        <v>45702</v>
      </c>
      <c r="B262" s="215" t="s">
        <v>726</v>
      </c>
      <c r="C262" s="215" t="s">
        <v>1539</v>
      </c>
      <c r="D262" s="215" t="s">
        <v>121</v>
      </c>
      <c r="E262" s="215">
        <v>1952</v>
      </c>
      <c r="F262" s="216">
        <f t="shared" si="9"/>
        <v>3.2741075457108688</v>
      </c>
      <c r="G262" s="215">
        <v>596.19299999999998</v>
      </c>
      <c r="H262" s="77" t="s">
        <v>156</v>
      </c>
      <c r="I262" s="77" t="s">
        <v>727</v>
      </c>
      <c r="J262" s="215" t="s">
        <v>100</v>
      </c>
      <c r="K262" s="215" t="s">
        <v>158</v>
      </c>
      <c r="L262" s="215" t="s">
        <v>159</v>
      </c>
      <c r="N262" s="77"/>
      <c r="O262" s="77"/>
    </row>
    <row r="263" spans="1:15" hidden="1">
      <c r="A263" s="214">
        <v>45702</v>
      </c>
      <c r="B263" s="215" t="s">
        <v>914</v>
      </c>
      <c r="C263" s="215" t="s">
        <v>179</v>
      </c>
      <c r="D263" s="215" t="s">
        <v>122</v>
      </c>
      <c r="E263" s="239">
        <v>7000</v>
      </c>
      <c r="F263" s="216">
        <f t="shared" si="9"/>
        <v>11.403961214802081</v>
      </c>
      <c r="G263" s="217">
        <v>613.82180000000005</v>
      </c>
      <c r="H263" s="77" t="s">
        <v>156</v>
      </c>
      <c r="I263" s="77" t="s">
        <v>728</v>
      </c>
      <c r="J263" s="215" t="s">
        <v>100</v>
      </c>
      <c r="K263" s="215" t="s">
        <v>508</v>
      </c>
      <c r="L263" s="215" t="s">
        <v>159</v>
      </c>
      <c r="N263" s="77"/>
      <c r="O263" s="77"/>
    </row>
    <row r="264" spans="1:15" hidden="1">
      <c r="A264" s="214">
        <v>45702</v>
      </c>
      <c r="B264" s="215" t="s">
        <v>207</v>
      </c>
      <c r="C264" s="215" t="s">
        <v>179</v>
      </c>
      <c r="D264" s="215" t="s">
        <v>120</v>
      </c>
      <c r="E264" s="239">
        <v>7000</v>
      </c>
      <c r="F264" s="216">
        <f t="shared" si="9"/>
        <v>11.403961214802081</v>
      </c>
      <c r="G264" s="217">
        <v>613.82180000000005</v>
      </c>
      <c r="H264" s="77" t="s">
        <v>209</v>
      </c>
      <c r="I264" s="77" t="s">
        <v>623</v>
      </c>
      <c r="J264" s="215" t="s">
        <v>100</v>
      </c>
      <c r="K264" s="215" t="s">
        <v>508</v>
      </c>
      <c r="L264" s="215" t="s">
        <v>159</v>
      </c>
      <c r="N264" s="77"/>
      <c r="O264" s="77"/>
    </row>
    <row r="265" spans="1:15" hidden="1">
      <c r="A265" s="214">
        <v>45702</v>
      </c>
      <c r="B265" s="215" t="s">
        <v>677</v>
      </c>
      <c r="C265" s="215" t="s">
        <v>155</v>
      </c>
      <c r="D265" s="215" t="s">
        <v>122</v>
      </c>
      <c r="E265" s="239">
        <v>30000</v>
      </c>
      <c r="F265" s="216">
        <f t="shared" si="9"/>
        <v>48.874119492008916</v>
      </c>
      <c r="G265" s="217">
        <v>613.82180000000005</v>
      </c>
      <c r="H265" s="77" t="s">
        <v>161</v>
      </c>
      <c r="I265" s="77" t="s">
        <v>678</v>
      </c>
      <c r="J265" s="215" t="s">
        <v>100</v>
      </c>
      <c r="K265" s="215" t="s">
        <v>508</v>
      </c>
      <c r="L265" s="215" t="s">
        <v>159</v>
      </c>
      <c r="N265" s="77"/>
      <c r="O265" s="77"/>
    </row>
    <row r="266" spans="1:15" hidden="1">
      <c r="A266" s="214">
        <v>45702</v>
      </c>
      <c r="B266" s="215" t="s">
        <v>679</v>
      </c>
      <c r="C266" s="215" t="s">
        <v>155</v>
      </c>
      <c r="D266" s="215" t="s">
        <v>120</v>
      </c>
      <c r="E266" s="239">
        <v>30000</v>
      </c>
      <c r="F266" s="216">
        <f t="shared" si="9"/>
        <v>48.874119492008916</v>
      </c>
      <c r="G266" s="217">
        <v>613.82180000000005</v>
      </c>
      <c r="H266" s="77" t="s">
        <v>161</v>
      </c>
      <c r="I266" s="77" t="s">
        <v>680</v>
      </c>
      <c r="J266" s="215" t="s">
        <v>100</v>
      </c>
      <c r="K266" s="215" t="s">
        <v>508</v>
      </c>
      <c r="L266" s="215" t="s">
        <v>159</v>
      </c>
      <c r="N266" s="77"/>
      <c r="O266" s="77"/>
    </row>
    <row r="267" spans="1:15" hidden="1">
      <c r="A267" s="214">
        <v>45702</v>
      </c>
      <c r="B267" s="215" t="s">
        <v>681</v>
      </c>
      <c r="C267" s="215" t="s">
        <v>155</v>
      </c>
      <c r="D267" s="215" t="s">
        <v>124</v>
      </c>
      <c r="E267" s="239">
        <v>55000</v>
      </c>
      <c r="F267" s="216">
        <f t="shared" si="9"/>
        <v>94.950186542589222</v>
      </c>
      <c r="G267" s="217">
        <v>579.25109999999995</v>
      </c>
      <c r="H267" s="77" t="s">
        <v>161</v>
      </c>
      <c r="I267" s="77" t="s">
        <v>682</v>
      </c>
      <c r="J267" s="215" t="s">
        <v>100</v>
      </c>
      <c r="K267" s="215" t="s">
        <v>211</v>
      </c>
      <c r="L267" s="215" t="s">
        <v>159</v>
      </c>
      <c r="N267" s="77"/>
      <c r="O267" s="77"/>
    </row>
    <row r="268" spans="1:15" hidden="1">
      <c r="A268" s="214">
        <v>45702</v>
      </c>
      <c r="B268" s="215" t="s">
        <v>683</v>
      </c>
      <c r="C268" s="215" t="s">
        <v>155</v>
      </c>
      <c r="D268" s="215" t="s">
        <v>123</v>
      </c>
      <c r="E268" s="239">
        <v>10000</v>
      </c>
      <c r="F268" s="216">
        <f t="shared" si="9"/>
        <v>16.291373164002973</v>
      </c>
      <c r="G268" s="217">
        <v>613.82180000000005</v>
      </c>
      <c r="H268" s="77" t="s">
        <v>161</v>
      </c>
      <c r="I268" s="77" t="s">
        <v>684</v>
      </c>
      <c r="J268" s="215" t="s">
        <v>100</v>
      </c>
      <c r="K268" s="215" t="s">
        <v>508</v>
      </c>
      <c r="L268" s="215" t="s">
        <v>159</v>
      </c>
      <c r="N268" s="77"/>
      <c r="O268" s="77"/>
    </row>
    <row r="269" spans="1:15" hidden="1">
      <c r="A269" s="214">
        <v>45702</v>
      </c>
      <c r="B269" s="215" t="s">
        <v>686</v>
      </c>
      <c r="C269" s="215" t="s">
        <v>155</v>
      </c>
      <c r="D269" s="215" t="s">
        <v>120</v>
      </c>
      <c r="E269" s="239">
        <v>10000</v>
      </c>
      <c r="F269" s="216">
        <f t="shared" si="9"/>
        <v>16.291373164002973</v>
      </c>
      <c r="G269" s="217">
        <v>613.82180000000005</v>
      </c>
      <c r="H269" s="77" t="s">
        <v>161</v>
      </c>
      <c r="I269" s="77" t="s">
        <v>685</v>
      </c>
      <c r="J269" s="215" t="s">
        <v>100</v>
      </c>
      <c r="K269" s="215" t="s">
        <v>508</v>
      </c>
      <c r="L269" s="215" t="s">
        <v>159</v>
      </c>
      <c r="N269" s="77"/>
      <c r="O269" s="77"/>
    </row>
    <row r="270" spans="1:15" hidden="1">
      <c r="A270" s="214">
        <v>45702</v>
      </c>
      <c r="B270" s="215" t="s">
        <v>917</v>
      </c>
      <c r="C270" s="215" t="s">
        <v>155</v>
      </c>
      <c r="D270" s="215" t="s">
        <v>124</v>
      </c>
      <c r="E270" s="239">
        <v>5000</v>
      </c>
      <c r="F270" s="216">
        <f t="shared" si="9"/>
        <v>8.1456865820014865</v>
      </c>
      <c r="G270" s="217">
        <v>613.82180000000005</v>
      </c>
      <c r="H270" s="77" t="s">
        <v>161</v>
      </c>
      <c r="I270" s="77" t="s">
        <v>687</v>
      </c>
      <c r="J270" s="215" t="s">
        <v>100</v>
      </c>
      <c r="K270" s="215" t="s">
        <v>508</v>
      </c>
      <c r="L270" s="215" t="s">
        <v>159</v>
      </c>
      <c r="N270" s="77"/>
      <c r="O270" s="77"/>
    </row>
    <row r="271" spans="1:15" hidden="1">
      <c r="A271" s="214">
        <v>45702</v>
      </c>
      <c r="B271" s="215" t="s">
        <v>675</v>
      </c>
      <c r="C271" s="215" t="s">
        <v>1539</v>
      </c>
      <c r="D271" s="215" t="s">
        <v>121</v>
      </c>
      <c r="E271" s="239">
        <v>11310</v>
      </c>
      <c r="F271" s="216">
        <f t="shared" si="9"/>
        <v>18.425543048487359</v>
      </c>
      <c r="G271" s="217">
        <v>613.82180000000005</v>
      </c>
      <c r="H271" s="77" t="s">
        <v>673</v>
      </c>
      <c r="I271" s="77" t="s">
        <v>676</v>
      </c>
      <c r="J271" s="215" t="s">
        <v>100</v>
      </c>
      <c r="K271" s="215" t="s">
        <v>508</v>
      </c>
      <c r="L271" s="215" t="s">
        <v>159</v>
      </c>
      <c r="N271" s="77"/>
      <c r="O271" s="77"/>
    </row>
    <row r="272" spans="1:15" hidden="1">
      <c r="A272" s="214">
        <v>45702</v>
      </c>
      <c r="B272" s="215" t="s">
        <v>813</v>
      </c>
      <c r="C272" s="215" t="s">
        <v>414</v>
      </c>
      <c r="D272" s="215" t="s">
        <v>124</v>
      </c>
      <c r="E272" s="239">
        <v>4000</v>
      </c>
      <c r="F272" s="216">
        <f t="shared" si="9"/>
        <v>6.5165492656011885</v>
      </c>
      <c r="G272" s="217">
        <v>613.82180000000005</v>
      </c>
      <c r="H272" s="77" t="s">
        <v>351</v>
      </c>
      <c r="I272" s="77" t="s">
        <v>814</v>
      </c>
      <c r="J272" s="215" t="s">
        <v>100</v>
      </c>
      <c r="K272" s="215" t="s">
        <v>508</v>
      </c>
      <c r="L272" s="215" t="s">
        <v>159</v>
      </c>
      <c r="N272" s="77"/>
      <c r="O272" s="77"/>
    </row>
    <row r="273" spans="1:15" hidden="1">
      <c r="A273" s="214">
        <v>45702</v>
      </c>
      <c r="B273" s="215" t="s">
        <v>815</v>
      </c>
      <c r="C273" s="215" t="s">
        <v>179</v>
      </c>
      <c r="D273" s="215" t="s">
        <v>124</v>
      </c>
      <c r="E273" s="239">
        <v>7000</v>
      </c>
      <c r="F273" s="216">
        <f t="shared" si="9"/>
        <v>11.403961214802081</v>
      </c>
      <c r="G273" s="217">
        <v>613.82180000000005</v>
      </c>
      <c r="H273" s="77" t="s">
        <v>351</v>
      </c>
      <c r="I273" s="77" t="s">
        <v>816</v>
      </c>
      <c r="J273" s="215" t="s">
        <v>100</v>
      </c>
      <c r="K273" s="215" t="s">
        <v>508</v>
      </c>
      <c r="L273" s="215" t="s">
        <v>159</v>
      </c>
      <c r="N273" s="77"/>
      <c r="O273" s="77"/>
    </row>
    <row r="274" spans="1:15" hidden="1">
      <c r="A274" s="214">
        <v>45702</v>
      </c>
      <c r="B274" s="215" t="s">
        <v>829</v>
      </c>
      <c r="C274" s="215" t="s">
        <v>179</v>
      </c>
      <c r="D274" s="215" t="s">
        <v>120</v>
      </c>
      <c r="E274" s="239">
        <v>7000</v>
      </c>
      <c r="F274" s="216">
        <f t="shared" si="9"/>
        <v>11.403961214802081</v>
      </c>
      <c r="G274" s="217">
        <v>613.82180000000005</v>
      </c>
      <c r="H274" s="77" t="s">
        <v>195</v>
      </c>
      <c r="I274" s="77" t="s">
        <v>830</v>
      </c>
      <c r="J274" s="215" t="s">
        <v>100</v>
      </c>
      <c r="K274" s="215" t="s">
        <v>508</v>
      </c>
      <c r="L274" s="215" t="s">
        <v>159</v>
      </c>
      <c r="N274" s="77"/>
      <c r="O274" s="77"/>
    </row>
    <row r="275" spans="1:15" hidden="1">
      <c r="A275" s="214">
        <v>45702</v>
      </c>
      <c r="B275" s="215" t="s">
        <v>576</v>
      </c>
      <c r="C275" s="215" t="s">
        <v>179</v>
      </c>
      <c r="D275" s="215" t="s">
        <v>123</v>
      </c>
      <c r="E275" s="239">
        <v>7000</v>
      </c>
      <c r="F275" s="216">
        <f t="shared" si="9"/>
        <v>11.403961214802081</v>
      </c>
      <c r="G275" s="217">
        <v>613.82180000000005</v>
      </c>
      <c r="H275" s="77" t="s">
        <v>223</v>
      </c>
      <c r="I275" s="77" t="s">
        <v>577</v>
      </c>
      <c r="J275" s="215" t="s">
        <v>100</v>
      </c>
      <c r="K275" s="215" t="s">
        <v>508</v>
      </c>
      <c r="L275" s="215" t="s">
        <v>159</v>
      </c>
      <c r="N275" s="77"/>
      <c r="O275" s="77"/>
    </row>
    <row r="276" spans="1:15" hidden="1">
      <c r="A276" s="214">
        <v>45702</v>
      </c>
      <c r="B276" s="215" t="s">
        <v>847</v>
      </c>
      <c r="C276" s="215" t="s">
        <v>334</v>
      </c>
      <c r="D276" s="215" t="s">
        <v>120</v>
      </c>
      <c r="E276" s="239">
        <v>20000</v>
      </c>
      <c r="F276" s="216">
        <f t="shared" si="9"/>
        <v>32.582746328005946</v>
      </c>
      <c r="G276" s="217">
        <v>613.82180000000005</v>
      </c>
      <c r="H276" s="77" t="s">
        <v>201</v>
      </c>
      <c r="I276" s="77" t="s">
        <v>848</v>
      </c>
      <c r="J276" s="215" t="s">
        <v>100</v>
      </c>
      <c r="K276" s="215" t="s">
        <v>508</v>
      </c>
      <c r="L276" s="215" t="s">
        <v>159</v>
      </c>
      <c r="N276" s="77"/>
      <c r="O276" s="77"/>
    </row>
    <row r="277" spans="1:15" hidden="1">
      <c r="A277" s="214">
        <v>45702</v>
      </c>
      <c r="B277" s="215" t="s">
        <v>886</v>
      </c>
      <c r="C277" s="215" t="s">
        <v>179</v>
      </c>
      <c r="D277" s="215" t="s">
        <v>124</v>
      </c>
      <c r="E277" s="239">
        <v>7000</v>
      </c>
      <c r="F277" s="216">
        <f t="shared" si="9"/>
        <v>11.403961214802081</v>
      </c>
      <c r="G277" s="217">
        <v>613.82180000000005</v>
      </c>
      <c r="H277" s="77" t="s">
        <v>340</v>
      </c>
      <c r="I277" s="77" t="s">
        <v>887</v>
      </c>
      <c r="J277" s="215" t="s">
        <v>100</v>
      </c>
      <c r="K277" s="215" t="s">
        <v>508</v>
      </c>
      <c r="L277" s="215" t="s">
        <v>159</v>
      </c>
      <c r="N277" s="77"/>
      <c r="O277" s="77"/>
    </row>
    <row r="278" spans="1:15" hidden="1">
      <c r="A278" s="214">
        <v>45703</v>
      </c>
      <c r="B278" s="215" t="s">
        <v>729</v>
      </c>
      <c r="C278" s="215" t="s">
        <v>184</v>
      </c>
      <c r="D278" s="215" t="s">
        <v>208</v>
      </c>
      <c r="E278" s="239">
        <v>100000</v>
      </c>
      <c r="F278" s="216">
        <f t="shared" ref="F278:F309" si="10">E278/G278</f>
        <v>162.91373164002971</v>
      </c>
      <c r="G278" s="217">
        <v>613.82180000000005</v>
      </c>
      <c r="H278" s="77" t="s">
        <v>156</v>
      </c>
      <c r="I278" s="77" t="s">
        <v>730</v>
      </c>
      <c r="J278" s="215" t="s">
        <v>100</v>
      </c>
      <c r="K278" s="215" t="s">
        <v>508</v>
      </c>
      <c r="L278" s="215" t="s">
        <v>159</v>
      </c>
      <c r="N278" s="77"/>
      <c r="O278" s="77"/>
    </row>
    <row r="279" spans="1:15" hidden="1">
      <c r="A279" s="214">
        <v>45703</v>
      </c>
      <c r="B279" s="215" t="s">
        <v>610</v>
      </c>
      <c r="C279" s="215" t="s">
        <v>184</v>
      </c>
      <c r="D279" s="215" t="s">
        <v>208</v>
      </c>
      <c r="E279" s="239">
        <v>180000</v>
      </c>
      <c r="F279" s="216">
        <f t="shared" si="10"/>
        <v>293.24471695205347</v>
      </c>
      <c r="G279" s="217">
        <v>613.82180000000005</v>
      </c>
      <c r="H279" s="77" t="s">
        <v>209</v>
      </c>
      <c r="I279" s="77" t="s">
        <v>611</v>
      </c>
      <c r="J279" s="215" t="s">
        <v>100</v>
      </c>
      <c r="K279" s="215" t="s">
        <v>508</v>
      </c>
      <c r="L279" s="215" t="s">
        <v>159</v>
      </c>
      <c r="N279" s="77"/>
      <c r="O279" s="77"/>
    </row>
    <row r="280" spans="1:15" hidden="1">
      <c r="A280" s="214">
        <v>45703</v>
      </c>
      <c r="B280" s="215" t="s">
        <v>884</v>
      </c>
      <c r="C280" s="215" t="s">
        <v>184</v>
      </c>
      <c r="D280" s="215" t="s">
        <v>124</v>
      </c>
      <c r="E280" s="239">
        <v>70000</v>
      </c>
      <c r="F280" s="216">
        <f t="shared" si="10"/>
        <v>114.03961214802079</v>
      </c>
      <c r="G280" s="217">
        <v>613.82180000000005</v>
      </c>
      <c r="H280" s="77" t="s">
        <v>340</v>
      </c>
      <c r="I280" s="77" t="s">
        <v>885</v>
      </c>
      <c r="J280" s="215" t="s">
        <v>100</v>
      </c>
      <c r="K280" s="215" t="s">
        <v>508</v>
      </c>
      <c r="L280" s="215" t="s">
        <v>159</v>
      </c>
      <c r="N280" s="77"/>
      <c r="O280" s="77"/>
    </row>
    <row r="281" spans="1:15" hidden="1">
      <c r="A281" s="214">
        <v>45703</v>
      </c>
      <c r="B281" s="215" t="s">
        <v>817</v>
      </c>
      <c r="C281" s="215" t="s">
        <v>184</v>
      </c>
      <c r="D281" s="215" t="s">
        <v>124</v>
      </c>
      <c r="E281" s="239">
        <v>30000</v>
      </c>
      <c r="F281" s="216">
        <f t="shared" si="10"/>
        <v>48.874119492008916</v>
      </c>
      <c r="G281" s="217">
        <v>613.82180000000005</v>
      </c>
      <c r="H281" s="77" t="s">
        <v>351</v>
      </c>
      <c r="I281" s="77" t="s">
        <v>818</v>
      </c>
      <c r="J281" s="215" t="s">
        <v>100</v>
      </c>
      <c r="K281" s="215" t="s">
        <v>508</v>
      </c>
      <c r="L281" s="215" t="s">
        <v>159</v>
      </c>
      <c r="N281" s="77"/>
      <c r="O281" s="77"/>
    </row>
    <row r="282" spans="1:15" hidden="1">
      <c r="A282" s="214">
        <v>45703</v>
      </c>
      <c r="B282" s="215" t="s">
        <v>1227</v>
      </c>
      <c r="C282" s="215" t="s">
        <v>184</v>
      </c>
      <c r="D282" s="215" t="s">
        <v>120</v>
      </c>
      <c r="E282" s="239">
        <v>170000</v>
      </c>
      <c r="F282" s="216">
        <f t="shared" si="10"/>
        <v>276.95334378805052</v>
      </c>
      <c r="G282" s="217">
        <v>613.82180000000005</v>
      </c>
      <c r="H282" s="77" t="s">
        <v>195</v>
      </c>
      <c r="I282" s="77" t="s">
        <v>831</v>
      </c>
      <c r="J282" s="215" t="s">
        <v>100</v>
      </c>
      <c r="K282" s="215" t="s">
        <v>508</v>
      </c>
      <c r="L282" s="215" t="s">
        <v>159</v>
      </c>
      <c r="N282" s="77"/>
      <c r="O282" s="77"/>
    </row>
    <row r="283" spans="1:15" hidden="1">
      <c r="A283" s="214">
        <v>45703</v>
      </c>
      <c r="B283" s="215" t="s">
        <v>600</v>
      </c>
      <c r="C283" s="215" t="s">
        <v>184</v>
      </c>
      <c r="D283" s="215" t="s">
        <v>120</v>
      </c>
      <c r="E283" s="239">
        <v>45000</v>
      </c>
      <c r="F283" s="216">
        <f t="shared" si="10"/>
        <v>73.311179238013366</v>
      </c>
      <c r="G283" s="217">
        <v>613.82180000000005</v>
      </c>
      <c r="H283" s="77" t="s">
        <v>198</v>
      </c>
      <c r="I283" s="77" t="s">
        <v>601</v>
      </c>
      <c r="J283" s="215" t="s">
        <v>100</v>
      </c>
      <c r="K283" s="215" t="s">
        <v>508</v>
      </c>
      <c r="L283" s="215" t="s">
        <v>159</v>
      </c>
      <c r="N283" s="77"/>
      <c r="O283" s="77"/>
    </row>
    <row r="284" spans="1:15" hidden="1">
      <c r="A284" s="214">
        <v>45703</v>
      </c>
      <c r="B284" s="215" t="s">
        <v>849</v>
      </c>
      <c r="C284" s="215" t="s">
        <v>184</v>
      </c>
      <c r="D284" s="215" t="s">
        <v>120</v>
      </c>
      <c r="E284" s="239">
        <v>30000</v>
      </c>
      <c r="F284" s="216">
        <f t="shared" si="10"/>
        <v>48.874119492008916</v>
      </c>
      <c r="G284" s="217">
        <v>613.82180000000005</v>
      </c>
      <c r="H284" s="77" t="s">
        <v>201</v>
      </c>
      <c r="I284" s="77" t="s">
        <v>850</v>
      </c>
      <c r="J284" s="215" t="s">
        <v>100</v>
      </c>
      <c r="K284" s="215" t="s">
        <v>508</v>
      </c>
      <c r="L284" s="215" t="s">
        <v>159</v>
      </c>
      <c r="N284" s="77"/>
      <c r="O284" s="77"/>
    </row>
    <row r="285" spans="1:15" hidden="1">
      <c r="A285" s="214">
        <v>45703</v>
      </c>
      <c r="B285" s="215" t="s">
        <v>851</v>
      </c>
      <c r="C285" s="215" t="s">
        <v>179</v>
      </c>
      <c r="D285" s="215" t="s">
        <v>120</v>
      </c>
      <c r="E285" s="239">
        <v>4000</v>
      </c>
      <c r="F285" s="216">
        <f t="shared" si="10"/>
        <v>6.5165492656011885</v>
      </c>
      <c r="G285" s="217">
        <v>613.82180000000005</v>
      </c>
      <c r="H285" s="77" t="s">
        <v>201</v>
      </c>
      <c r="I285" s="77" t="s">
        <v>852</v>
      </c>
      <c r="J285" s="215" t="s">
        <v>100</v>
      </c>
      <c r="K285" s="215" t="s">
        <v>508</v>
      </c>
      <c r="L285" s="215" t="s">
        <v>159</v>
      </c>
      <c r="N285" s="77"/>
      <c r="O285" s="77"/>
    </row>
    <row r="286" spans="1:15" hidden="1">
      <c r="A286" s="214">
        <v>45703</v>
      </c>
      <c r="B286" s="215" t="s">
        <v>578</v>
      </c>
      <c r="C286" s="215" t="s">
        <v>184</v>
      </c>
      <c r="D286" s="215" t="s">
        <v>123</v>
      </c>
      <c r="E286" s="239">
        <v>130000</v>
      </c>
      <c r="F286" s="216">
        <f t="shared" si="10"/>
        <v>211.78785113203864</v>
      </c>
      <c r="G286" s="217">
        <v>613.82180000000005</v>
      </c>
      <c r="H286" s="77" t="s">
        <v>223</v>
      </c>
      <c r="I286" s="77" t="s">
        <v>579</v>
      </c>
      <c r="J286" s="215" t="s">
        <v>100</v>
      </c>
      <c r="K286" s="215" t="s">
        <v>508</v>
      </c>
      <c r="L286" s="215" t="s">
        <v>159</v>
      </c>
      <c r="N286" s="77"/>
      <c r="O286" s="77"/>
    </row>
    <row r="287" spans="1:15" hidden="1">
      <c r="A287" s="214">
        <v>45703</v>
      </c>
      <c r="B287" s="215" t="s">
        <v>853</v>
      </c>
      <c r="C287" s="215" t="s">
        <v>179</v>
      </c>
      <c r="D287" s="215" t="s">
        <v>120</v>
      </c>
      <c r="E287" s="239">
        <v>7000</v>
      </c>
      <c r="F287" s="216">
        <f t="shared" si="10"/>
        <v>11.403961214802081</v>
      </c>
      <c r="G287" s="217">
        <v>613.82180000000005</v>
      </c>
      <c r="H287" s="77" t="s">
        <v>201</v>
      </c>
      <c r="I287" s="77" t="s">
        <v>854</v>
      </c>
      <c r="J287" s="215" t="s">
        <v>100</v>
      </c>
      <c r="K287" s="215" t="s">
        <v>508</v>
      </c>
      <c r="L287" s="215" t="s">
        <v>159</v>
      </c>
      <c r="N287" s="77"/>
      <c r="O287" s="77"/>
    </row>
    <row r="288" spans="1:15" hidden="1">
      <c r="A288" s="214">
        <v>45705</v>
      </c>
      <c r="B288" s="215" t="s">
        <v>688</v>
      </c>
      <c r="C288" s="215" t="s">
        <v>155</v>
      </c>
      <c r="D288" s="215" t="s">
        <v>124</v>
      </c>
      <c r="E288" s="239">
        <v>15000</v>
      </c>
      <c r="F288" s="216">
        <f t="shared" si="10"/>
        <v>24.437059746004458</v>
      </c>
      <c r="G288" s="217">
        <v>613.82180000000005</v>
      </c>
      <c r="H288" s="77" t="s">
        <v>161</v>
      </c>
      <c r="I288" s="77" t="s">
        <v>689</v>
      </c>
      <c r="J288" s="215" t="s">
        <v>100</v>
      </c>
      <c r="K288" s="215" t="s">
        <v>508</v>
      </c>
      <c r="L288" s="215" t="s">
        <v>159</v>
      </c>
      <c r="N288" s="77"/>
      <c r="O288" s="77"/>
    </row>
    <row r="289" spans="1:15" hidden="1">
      <c r="A289" s="214">
        <v>45706</v>
      </c>
      <c r="B289" s="215" t="s">
        <v>690</v>
      </c>
      <c r="C289" s="215" t="s">
        <v>1539</v>
      </c>
      <c r="D289" s="215" t="s">
        <v>121</v>
      </c>
      <c r="E289" s="239">
        <v>9000</v>
      </c>
      <c r="F289" s="216">
        <f t="shared" si="10"/>
        <v>14.662235847602675</v>
      </c>
      <c r="G289" s="217">
        <v>613.82180000000005</v>
      </c>
      <c r="H289" s="77" t="s">
        <v>673</v>
      </c>
      <c r="I289" s="77" t="s">
        <v>691</v>
      </c>
      <c r="J289" s="215" t="s">
        <v>100</v>
      </c>
      <c r="K289" s="215" t="s">
        <v>508</v>
      </c>
      <c r="L289" s="215" t="s">
        <v>159</v>
      </c>
      <c r="N289" s="77"/>
      <c r="O289" s="77"/>
    </row>
    <row r="290" spans="1:15" hidden="1">
      <c r="A290" s="214">
        <v>45706</v>
      </c>
      <c r="B290" s="215" t="s">
        <v>888</v>
      </c>
      <c r="C290" s="215" t="s">
        <v>184</v>
      </c>
      <c r="D290" s="215" t="s">
        <v>124</v>
      </c>
      <c r="E290" s="239">
        <v>45000</v>
      </c>
      <c r="F290" s="216">
        <f t="shared" si="10"/>
        <v>73.311179238013366</v>
      </c>
      <c r="G290" s="217">
        <v>613.82180000000005</v>
      </c>
      <c r="H290" s="77" t="s">
        <v>340</v>
      </c>
      <c r="I290" s="77" t="s">
        <v>889</v>
      </c>
      <c r="J290" s="215" t="s">
        <v>100</v>
      </c>
      <c r="K290" s="215" t="s">
        <v>508</v>
      </c>
      <c r="L290" s="215" t="s">
        <v>159</v>
      </c>
      <c r="N290" s="77"/>
      <c r="O290" s="77"/>
    </row>
    <row r="291" spans="1:15" hidden="1">
      <c r="A291" s="214">
        <v>45706</v>
      </c>
      <c r="B291" s="215" t="s">
        <v>890</v>
      </c>
      <c r="C291" s="215" t="s">
        <v>179</v>
      </c>
      <c r="D291" s="215" t="s">
        <v>124</v>
      </c>
      <c r="E291" s="239">
        <v>4000</v>
      </c>
      <c r="F291" s="216">
        <f t="shared" si="10"/>
        <v>6.5165492656011885</v>
      </c>
      <c r="G291" s="217">
        <v>613.82180000000005</v>
      </c>
      <c r="H291" s="77" t="s">
        <v>340</v>
      </c>
      <c r="I291" s="77" t="s">
        <v>891</v>
      </c>
      <c r="J291" s="215" t="s">
        <v>100</v>
      </c>
      <c r="K291" s="215" t="s">
        <v>508</v>
      </c>
      <c r="L291" s="215" t="s">
        <v>159</v>
      </c>
      <c r="N291" s="77"/>
      <c r="O291" s="77"/>
    </row>
    <row r="292" spans="1:15" hidden="1">
      <c r="A292" s="214">
        <v>45706</v>
      </c>
      <c r="B292" s="215" t="s">
        <v>692</v>
      </c>
      <c r="C292" s="215" t="s">
        <v>269</v>
      </c>
      <c r="D292" s="215" t="s">
        <v>120</v>
      </c>
      <c r="E292" s="239">
        <v>70000</v>
      </c>
      <c r="F292" s="216">
        <f t="shared" si="10"/>
        <v>114.03961214802079</v>
      </c>
      <c r="G292" s="217">
        <v>613.82180000000005</v>
      </c>
      <c r="H292" s="77" t="s">
        <v>201</v>
      </c>
      <c r="I292" s="77" t="s">
        <v>693</v>
      </c>
      <c r="J292" s="215" t="s">
        <v>100</v>
      </c>
      <c r="K292" s="215" t="s">
        <v>508</v>
      </c>
      <c r="L292" s="215" t="s">
        <v>159</v>
      </c>
      <c r="N292" s="77"/>
      <c r="O292" s="77"/>
    </row>
    <row r="293" spans="1:15" hidden="1">
      <c r="A293" s="214">
        <v>45707</v>
      </c>
      <c r="B293" s="215" t="s">
        <v>921</v>
      </c>
      <c r="C293" s="215" t="s">
        <v>414</v>
      </c>
      <c r="D293" s="215" t="s">
        <v>124</v>
      </c>
      <c r="E293" s="239">
        <v>30000</v>
      </c>
      <c r="F293" s="216">
        <f t="shared" si="10"/>
        <v>48.874119492008916</v>
      </c>
      <c r="G293" s="217">
        <v>613.82180000000005</v>
      </c>
      <c r="H293" s="77" t="s">
        <v>161</v>
      </c>
      <c r="I293" s="77" t="s">
        <v>694</v>
      </c>
      <c r="J293" s="215" t="s">
        <v>100</v>
      </c>
      <c r="K293" s="215" t="s">
        <v>508</v>
      </c>
      <c r="L293" s="215" t="s">
        <v>159</v>
      </c>
      <c r="N293" s="77"/>
      <c r="O293" s="77"/>
    </row>
    <row r="294" spans="1:15" hidden="1">
      <c r="A294" s="214">
        <v>45707</v>
      </c>
      <c r="B294" s="215" t="s">
        <v>695</v>
      </c>
      <c r="C294" s="215" t="s">
        <v>1539</v>
      </c>
      <c r="D294" s="215" t="s">
        <v>121</v>
      </c>
      <c r="E294" s="239">
        <v>1952</v>
      </c>
      <c r="F294" s="216">
        <f t="shared" si="10"/>
        <v>3.3698684387478939</v>
      </c>
      <c r="G294" s="217">
        <v>579.25109999999995</v>
      </c>
      <c r="H294" s="77" t="s">
        <v>161</v>
      </c>
      <c r="I294" s="77" t="s">
        <v>696</v>
      </c>
      <c r="J294" s="215" t="s">
        <v>100</v>
      </c>
      <c r="K294" s="215" t="s">
        <v>211</v>
      </c>
      <c r="L294" s="215" t="s">
        <v>159</v>
      </c>
      <c r="N294" s="77"/>
      <c r="O294" s="77"/>
    </row>
    <row r="295" spans="1:15" hidden="1">
      <c r="A295" s="214">
        <v>45707</v>
      </c>
      <c r="B295" s="215" t="s">
        <v>697</v>
      </c>
      <c r="C295" s="215" t="s">
        <v>1539</v>
      </c>
      <c r="D295" s="215" t="s">
        <v>121</v>
      </c>
      <c r="E295" s="239">
        <v>14250</v>
      </c>
      <c r="F295" s="216">
        <f t="shared" si="10"/>
        <v>23.215206758704234</v>
      </c>
      <c r="G295" s="217">
        <v>613.82180000000005</v>
      </c>
      <c r="H295" s="77" t="s">
        <v>673</v>
      </c>
      <c r="I295" s="77" t="s">
        <v>698</v>
      </c>
      <c r="J295" s="215" t="s">
        <v>100</v>
      </c>
      <c r="K295" s="215" t="s">
        <v>508</v>
      </c>
      <c r="L295" s="215" t="s">
        <v>159</v>
      </c>
      <c r="N295" s="77"/>
      <c r="O295" s="77"/>
    </row>
    <row r="296" spans="1:15" hidden="1">
      <c r="A296" s="214">
        <v>45708</v>
      </c>
      <c r="B296" s="215" t="s">
        <v>892</v>
      </c>
      <c r="C296" s="215" t="s">
        <v>184</v>
      </c>
      <c r="D296" s="215" t="s">
        <v>124</v>
      </c>
      <c r="E296" s="239">
        <v>30000</v>
      </c>
      <c r="F296" s="216">
        <f t="shared" si="10"/>
        <v>48.874119492008916</v>
      </c>
      <c r="G296" s="217">
        <v>613.82180000000005</v>
      </c>
      <c r="H296" s="77" t="s">
        <v>340</v>
      </c>
      <c r="I296" s="77" t="s">
        <v>893</v>
      </c>
      <c r="J296" s="215" t="s">
        <v>100</v>
      </c>
      <c r="K296" s="215" t="s">
        <v>508</v>
      </c>
      <c r="L296" s="215" t="s">
        <v>159</v>
      </c>
      <c r="N296" s="77"/>
      <c r="O296" s="77"/>
    </row>
    <row r="297" spans="1:15" hidden="1">
      <c r="A297" s="214">
        <v>45708</v>
      </c>
      <c r="B297" s="215" t="s">
        <v>894</v>
      </c>
      <c r="C297" s="215" t="s">
        <v>179</v>
      </c>
      <c r="D297" s="215" t="s">
        <v>124</v>
      </c>
      <c r="E297" s="239">
        <v>4000</v>
      </c>
      <c r="F297" s="216">
        <f t="shared" si="10"/>
        <v>6.5165492656011885</v>
      </c>
      <c r="G297" s="217">
        <v>613.82180000000005</v>
      </c>
      <c r="H297" s="77" t="s">
        <v>340</v>
      </c>
      <c r="I297" s="77" t="s">
        <v>895</v>
      </c>
      <c r="J297" s="215" t="s">
        <v>100</v>
      </c>
      <c r="K297" s="215" t="s">
        <v>508</v>
      </c>
      <c r="L297" s="215" t="s">
        <v>159</v>
      </c>
      <c r="N297" s="77"/>
      <c r="O297" s="77"/>
    </row>
    <row r="298" spans="1:15" hidden="1">
      <c r="A298" s="214">
        <v>45708</v>
      </c>
      <c r="B298" s="215" t="s">
        <v>602</v>
      </c>
      <c r="C298" s="215" t="s">
        <v>184</v>
      </c>
      <c r="D298" s="215" t="s">
        <v>120</v>
      </c>
      <c r="E298" s="239">
        <v>75000</v>
      </c>
      <c r="F298" s="216">
        <f t="shared" si="10"/>
        <v>122.18529873002228</v>
      </c>
      <c r="G298" s="217">
        <v>613.82180000000005</v>
      </c>
      <c r="H298" s="77" t="s">
        <v>198</v>
      </c>
      <c r="I298" s="77" t="s">
        <v>603</v>
      </c>
      <c r="J298" s="215" t="s">
        <v>100</v>
      </c>
      <c r="K298" s="215" t="s">
        <v>508</v>
      </c>
      <c r="L298" s="215" t="s">
        <v>159</v>
      </c>
      <c r="N298" s="77"/>
      <c r="O298" s="77"/>
    </row>
    <row r="299" spans="1:15" hidden="1">
      <c r="A299" s="214">
        <v>45709</v>
      </c>
      <c r="B299" s="215" t="s">
        <v>675</v>
      </c>
      <c r="C299" s="215" t="s">
        <v>1539</v>
      </c>
      <c r="D299" s="215" t="s">
        <v>121</v>
      </c>
      <c r="E299" s="239">
        <v>14700</v>
      </c>
      <c r="F299" s="216">
        <f t="shared" si="10"/>
        <v>23.94831855108437</v>
      </c>
      <c r="G299" s="217">
        <v>613.82180000000005</v>
      </c>
      <c r="H299" s="77" t="s">
        <v>201</v>
      </c>
      <c r="I299" s="77" t="s">
        <v>700</v>
      </c>
      <c r="J299" s="215" t="s">
        <v>100</v>
      </c>
      <c r="K299" s="215" t="s">
        <v>508</v>
      </c>
      <c r="L299" s="215" t="s">
        <v>159</v>
      </c>
      <c r="N299" s="77"/>
      <c r="O299" s="77"/>
    </row>
    <row r="300" spans="1:15" hidden="1">
      <c r="A300" s="214">
        <v>45710</v>
      </c>
      <c r="B300" s="215" t="s">
        <v>913</v>
      </c>
      <c r="C300" s="215" t="s">
        <v>184</v>
      </c>
      <c r="D300" s="215" t="s">
        <v>120</v>
      </c>
      <c r="E300" s="239">
        <v>105000</v>
      </c>
      <c r="F300" s="216">
        <f t="shared" si="10"/>
        <v>171.05941822203121</v>
      </c>
      <c r="G300" s="217">
        <v>613.82180000000005</v>
      </c>
      <c r="H300" s="77" t="s">
        <v>209</v>
      </c>
      <c r="I300" s="77" t="s">
        <v>612</v>
      </c>
      <c r="J300" s="215" t="s">
        <v>100</v>
      </c>
      <c r="K300" s="215" t="s">
        <v>508</v>
      </c>
      <c r="L300" s="215" t="s">
        <v>159</v>
      </c>
      <c r="N300" s="77"/>
      <c r="O300" s="77"/>
    </row>
    <row r="301" spans="1:15" hidden="1">
      <c r="A301" s="214">
        <v>45710</v>
      </c>
      <c r="B301" s="215" t="s">
        <v>787</v>
      </c>
      <c r="C301" s="215" t="s">
        <v>184</v>
      </c>
      <c r="D301" s="215" t="s">
        <v>124</v>
      </c>
      <c r="E301" s="239">
        <v>180000</v>
      </c>
      <c r="F301" s="216">
        <f t="shared" si="10"/>
        <v>293.24471695205347</v>
      </c>
      <c r="G301" s="217">
        <v>613.82180000000005</v>
      </c>
      <c r="H301" s="77" t="s">
        <v>181</v>
      </c>
      <c r="I301" s="77" t="s">
        <v>788</v>
      </c>
      <c r="J301" s="215" t="s">
        <v>100</v>
      </c>
      <c r="K301" s="215" t="s">
        <v>508</v>
      </c>
      <c r="L301" s="215" t="s">
        <v>159</v>
      </c>
      <c r="N301" s="77"/>
      <c r="O301" s="77"/>
    </row>
    <row r="302" spans="1:15" hidden="1">
      <c r="A302" s="214">
        <v>45710</v>
      </c>
      <c r="B302" s="215" t="s">
        <v>896</v>
      </c>
      <c r="C302" s="215" t="s">
        <v>184</v>
      </c>
      <c r="D302" s="215" t="s">
        <v>124</v>
      </c>
      <c r="E302" s="239">
        <v>30000</v>
      </c>
      <c r="F302" s="216">
        <f t="shared" si="10"/>
        <v>48.874119492008916</v>
      </c>
      <c r="G302" s="217">
        <v>613.82180000000005</v>
      </c>
      <c r="H302" s="77" t="s">
        <v>340</v>
      </c>
      <c r="I302" s="77" t="s">
        <v>897</v>
      </c>
      <c r="J302" s="215" t="s">
        <v>100</v>
      </c>
      <c r="K302" s="215" t="s">
        <v>508</v>
      </c>
      <c r="L302" s="215" t="s">
        <v>159</v>
      </c>
      <c r="N302" s="77"/>
      <c r="O302" s="77"/>
    </row>
    <row r="303" spans="1:15" hidden="1">
      <c r="A303" s="214">
        <v>45710</v>
      </c>
      <c r="B303" s="215" t="s">
        <v>898</v>
      </c>
      <c r="C303" s="215" t="s">
        <v>179</v>
      </c>
      <c r="D303" s="215" t="s">
        <v>124</v>
      </c>
      <c r="E303" s="239">
        <v>7000</v>
      </c>
      <c r="F303" s="216">
        <f t="shared" si="10"/>
        <v>11.403961214802081</v>
      </c>
      <c r="G303" s="217">
        <v>613.82180000000005</v>
      </c>
      <c r="H303" s="77" t="s">
        <v>340</v>
      </c>
      <c r="I303" s="77" t="s">
        <v>899</v>
      </c>
      <c r="J303" s="215" t="s">
        <v>100</v>
      </c>
      <c r="K303" s="215" t="s">
        <v>508</v>
      </c>
      <c r="L303" s="215" t="s">
        <v>159</v>
      </c>
      <c r="N303" s="77"/>
      <c r="O303" s="77"/>
    </row>
    <row r="304" spans="1:15" hidden="1">
      <c r="A304" s="214">
        <v>45711</v>
      </c>
      <c r="B304" s="215" t="s">
        <v>789</v>
      </c>
      <c r="C304" s="215" t="s">
        <v>414</v>
      </c>
      <c r="D304" s="215" t="s">
        <v>124</v>
      </c>
      <c r="E304" s="239">
        <v>68000</v>
      </c>
      <c r="F304" s="216">
        <f t="shared" si="10"/>
        <v>110.7813375152202</v>
      </c>
      <c r="G304" s="217">
        <v>613.82180000000005</v>
      </c>
      <c r="H304" s="77" t="s">
        <v>181</v>
      </c>
      <c r="I304" s="77" t="s">
        <v>790</v>
      </c>
      <c r="J304" s="215" t="s">
        <v>100</v>
      </c>
      <c r="K304" s="215" t="s">
        <v>508</v>
      </c>
      <c r="L304" s="215" t="s">
        <v>159</v>
      </c>
      <c r="N304" s="77"/>
      <c r="O304" s="77"/>
    </row>
    <row r="305" spans="1:15" hidden="1">
      <c r="A305" s="214">
        <v>45712</v>
      </c>
      <c r="B305" s="215" t="s">
        <v>613</v>
      </c>
      <c r="C305" s="215" t="s">
        <v>184</v>
      </c>
      <c r="D305" s="215" t="s">
        <v>208</v>
      </c>
      <c r="E305" s="239">
        <v>10500</v>
      </c>
      <c r="F305" s="216">
        <f t="shared" si="10"/>
        <v>17.105941822203121</v>
      </c>
      <c r="G305" s="217">
        <v>613.82180000000005</v>
      </c>
      <c r="H305" s="77" t="s">
        <v>209</v>
      </c>
      <c r="I305" s="77" t="s">
        <v>614</v>
      </c>
      <c r="J305" s="215" t="s">
        <v>100</v>
      </c>
      <c r="K305" s="215" t="s">
        <v>508</v>
      </c>
      <c r="L305" s="215" t="s">
        <v>159</v>
      </c>
      <c r="N305" s="77"/>
      <c r="O305" s="77"/>
    </row>
    <row r="306" spans="1:15" hidden="1">
      <c r="A306" s="214">
        <v>45712</v>
      </c>
      <c r="B306" s="215" t="s">
        <v>615</v>
      </c>
      <c r="C306" s="215" t="s">
        <v>1538</v>
      </c>
      <c r="D306" s="215" t="s">
        <v>208</v>
      </c>
      <c r="E306" s="239">
        <v>1500</v>
      </c>
      <c r="F306" s="216">
        <f t="shared" si="10"/>
        <v>2.4437059746004457</v>
      </c>
      <c r="G306" s="217">
        <v>613.82180000000005</v>
      </c>
      <c r="H306" s="77" t="s">
        <v>209</v>
      </c>
      <c r="I306" s="77" t="s">
        <v>616</v>
      </c>
      <c r="J306" s="215" t="s">
        <v>100</v>
      </c>
      <c r="K306" s="215" t="s">
        <v>508</v>
      </c>
      <c r="L306" s="215" t="s">
        <v>159</v>
      </c>
      <c r="N306" s="77"/>
      <c r="O306" s="77"/>
    </row>
    <row r="307" spans="1:15" hidden="1">
      <c r="A307" s="214">
        <v>45712</v>
      </c>
      <c r="B307" s="215" t="s">
        <v>703</v>
      </c>
      <c r="C307" s="215" t="s">
        <v>155</v>
      </c>
      <c r="D307" s="215" t="s">
        <v>122</v>
      </c>
      <c r="E307" s="239">
        <v>5000</v>
      </c>
      <c r="F307" s="216">
        <f t="shared" si="10"/>
        <v>8.1456865820014865</v>
      </c>
      <c r="G307" s="217">
        <v>613.82180000000005</v>
      </c>
      <c r="H307" s="77" t="s">
        <v>161</v>
      </c>
      <c r="I307" s="77" t="s">
        <v>704</v>
      </c>
      <c r="J307" s="215" t="s">
        <v>100</v>
      </c>
      <c r="K307" s="215" t="s">
        <v>508</v>
      </c>
      <c r="L307" s="215" t="s">
        <v>159</v>
      </c>
      <c r="N307" s="77"/>
      <c r="O307" s="77"/>
    </row>
    <row r="308" spans="1:15" hidden="1">
      <c r="A308" s="214">
        <v>45712</v>
      </c>
      <c r="B308" s="215" t="s">
        <v>762</v>
      </c>
      <c r="C308" s="215" t="s">
        <v>184</v>
      </c>
      <c r="D308" s="215" t="s">
        <v>124</v>
      </c>
      <c r="E308" s="239">
        <v>210000</v>
      </c>
      <c r="F308" s="216">
        <f t="shared" si="10"/>
        <v>342.11883644406242</v>
      </c>
      <c r="G308" s="217">
        <v>613.82180000000005</v>
      </c>
      <c r="H308" s="77" t="s">
        <v>192</v>
      </c>
      <c r="I308" s="77" t="s">
        <v>763</v>
      </c>
      <c r="J308" s="215" t="s">
        <v>100</v>
      </c>
      <c r="K308" s="215" t="s">
        <v>508</v>
      </c>
      <c r="L308" s="215" t="s">
        <v>159</v>
      </c>
      <c r="N308" s="77"/>
      <c r="O308" s="77"/>
    </row>
    <row r="309" spans="1:15" hidden="1">
      <c r="A309" s="214">
        <v>45712</v>
      </c>
      <c r="B309" s="215" t="s">
        <v>764</v>
      </c>
      <c r="C309" s="215" t="s">
        <v>179</v>
      </c>
      <c r="D309" s="215" t="s">
        <v>208</v>
      </c>
      <c r="E309" s="239">
        <v>50000</v>
      </c>
      <c r="F309" s="216">
        <f t="shared" si="10"/>
        <v>81.456865820014855</v>
      </c>
      <c r="G309" s="217">
        <v>613.82180000000005</v>
      </c>
      <c r="H309" s="77" t="s">
        <v>192</v>
      </c>
      <c r="I309" s="77" t="s">
        <v>765</v>
      </c>
      <c r="J309" s="215" t="s">
        <v>100</v>
      </c>
      <c r="K309" s="215" t="s">
        <v>508</v>
      </c>
      <c r="L309" s="215" t="s">
        <v>159</v>
      </c>
      <c r="N309" s="77"/>
      <c r="O309" s="77"/>
    </row>
    <row r="310" spans="1:15" hidden="1">
      <c r="A310" s="214">
        <v>45712</v>
      </c>
      <c r="B310" s="215" t="s">
        <v>766</v>
      </c>
      <c r="C310" s="215" t="s">
        <v>179</v>
      </c>
      <c r="D310" s="215" t="s">
        <v>208</v>
      </c>
      <c r="E310" s="239">
        <v>8000</v>
      </c>
      <c r="F310" s="216">
        <f t="shared" ref="F310:F341" si="11">E310/G310</f>
        <v>13.033098531202377</v>
      </c>
      <c r="G310" s="217">
        <v>613.82180000000005</v>
      </c>
      <c r="H310" s="77" t="s">
        <v>192</v>
      </c>
      <c r="I310" s="77" t="s">
        <v>767</v>
      </c>
      <c r="J310" s="215" t="s">
        <v>100</v>
      </c>
      <c r="K310" s="215" t="s">
        <v>508</v>
      </c>
      <c r="L310" s="215" t="s">
        <v>159</v>
      </c>
      <c r="N310" s="77"/>
      <c r="O310" s="77"/>
    </row>
    <row r="311" spans="1:15" hidden="1">
      <c r="A311" s="214">
        <v>45712</v>
      </c>
      <c r="B311" s="215" t="s">
        <v>768</v>
      </c>
      <c r="C311" s="215" t="s">
        <v>179</v>
      </c>
      <c r="D311" s="215" t="s">
        <v>208</v>
      </c>
      <c r="E311" s="239">
        <v>8000</v>
      </c>
      <c r="F311" s="216">
        <f t="shared" si="11"/>
        <v>13.033098531202377</v>
      </c>
      <c r="G311" s="217">
        <v>613.82180000000005</v>
      </c>
      <c r="H311" s="77" t="s">
        <v>192</v>
      </c>
      <c r="I311" s="77" t="s">
        <v>769</v>
      </c>
      <c r="J311" s="215" t="s">
        <v>100</v>
      </c>
      <c r="K311" s="215" t="s">
        <v>508</v>
      </c>
      <c r="L311" s="215" t="s">
        <v>159</v>
      </c>
      <c r="N311" s="77"/>
      <c r="O311" s="77"/>
    </row>
    <row r="312" spans="1:15" hidden="1">
      <c r="A312" s="214">
        <v>45712</v>
      </c>
      <c r="B312" s="215" t="s">
        <v>260</v>
      </c>
      <c r="C312" s="215" t="s">
        <v>184</v>
      </c>
      <c r="D312" s="215" t="s">
        <v>208</v>
      </c>
      <c r="E312" s="239">
        <v>18000</v>
      </c>
      <c r="F312" s="216">
        <f t="shared" si="11"/>
        <v>29.32447169520535</v>
      </c>
      <c r="G312" s="217">
        <v>613.82180000000005</v>
      </c>
      <c r="H312" s="77" t="s">
        <v>195</v>
      </c>
      <c r="I312" s="77" t="s">
        <v>832</v>
      </c>
      <c r="J312" s="215" t="s">
        <v>100</v>
      </c>
      <c r="K312" s="215" t="s">
        <v>508</v>
      </c>
      <c r="L312" s="215" t="s">
        <v>159</v>
      </c>
      <c r="N312" s="77"/>
      <c r="O312" s="77"/>
    </row>
    <row r="313" spans="1:15" hidden="1">
      <c r="A313" s="214">
        <v>45712</v>
      </c>
      <c r="B313" s="215" t="s">
        <v>833</v>
      </c>
      <c r="C313" s="215" t="s">
        <v>179</v>
      </c>
      <c r="D313" s="215" t="s">
        <v>208</v>
      </c>
      <c r="E313" s="239">
        <v>25000</v>
      </c>
      <c r="F313" s="216">
        <f t="shared" si="11"/>
        <v>40.728432910007427</v>
      </c>
      <c r="G313" s="217">
        <v>613.82180000000005</v>
      </c>
      <c r="H313" s="77" t="s">
        <v>195</v>
      </c>
      <c r="I313" s="77" t="s">
        <v>834</v>
      </c>
      <c r="J313" s="215" t="s">
        <v>100</v>
      </c>
      <c r="K313" s="215" t="s">
        <v>508</v>
      </c>
      <c r="L313" s="215" t="s">
        <v>159</v>
      </c>
      <c r="N313" s="77"/>
      <c r="O313" s="77"/>
    </row>
    <row r="314" spans="1:15" hidden="1">
      <c r="A314" s="214">
        <v>45712</v>
      </c>
      <c r="B314" s="215" t="s">
        <v>604</v>
      </c>
      <c r="C314" s="215" t="s">
        <v>184</v>
      </c>
      <c r="D314" s="215" t="s">
        <v>120</v>
      </c>
      <c r="E314" s="239">
        <v>5100</v>
      </c>
      <c r="F314" s="216">
        <f t="shared" si="11"/>
        <v>8.3086003136415147</v>
      </c>
      <c r="G314" s="217">
        <v>613.82180000000005</v>
      </c>
      <c r="H314" s="77" t="s">
        <v>198</v>
      </c>
      <c r="I314" s="77" t="s">
        <v>605</v>
      </c>
      <c r="J314" s="215" t="s">
        <v>100</v>
      </c>
      <c r="K314" s="215" t="s">
        <v>508</v>
      </c>
      <c r="L314" s="215" t="s">
        <v>159</v>
      </c>
      <c r="N314" s="77"/>
      <c r="O314" s="77"/>
    </row>
    <row r="315" spans="1:15" hidden="1">
      <c r="A315" s="214">
        <v>45712</v>
      </c>
      <c r="B315" s="239" t="s">
        <v>925</v>
      </c>
      <c r="C315" s="215" t="s">
        <v>1539</v>
      </c>
      <c r="D315" s="215" t="s">
        <v>121</v>
      </c>
      <c r="E315" s="239">
        <v>8100</v>
      </c>
      <c r="F315" s="216">
        <f t="shared" si="11"/>
        <v>13.196012262842407</v>
      </c>
      <c r="G315" s="217">
        <v>613.82180000000005</v>
      </c>
      <c r="H315" s="77" t="s">
        <v>201</v>
      </c>
      <c r="I315" s="77" t="s">
        <v>702</v>
      </c>
      <c r="J315" s="215" t="s">
        <v>100</v>
      </c>
      <c r="K315" s="215" t="s">
        <v>508</v>
      </c>
      <c r="L315" s="215" t="s">
        <v>159</v>
      </c>
      <c r="N315" s="77"/>
      <c r="O315" s="77"/>
    </row>
    <row r="316" spans="1:15" hidden="1">
      <c r="A316" s="214">
        <v>45712</v>
      </c>
      <c r="B316" s="215" t="s">
        <v>275</v>
      </c>
      <c r="C316" s="215" t="s">
        <v>184</v>
      </c>
      <c r="D316" s="215" t="s">
        <v>208</v>
      </c>
      <c r="E316" s="239">
        <v>9800</v>
      </c>
      <c r="F316" s="216">
        <f t="shared" si="11"/>
        <v>15.965545700722911</v>
      </c>
      <c r="G316" s="217">
        <v>613.82180000000005</v>
      </c>
      <c r="H316" s="77" t="s">
        <v>223</v>
      </c>
      <c r="I316" s="77" t="s">
        <v>580</v>
      </c>
      <c r="J316" s="215" t="s">
        <v>100</v>
      </c>
      <c r="K316" s="215" t="s">
        <v>508</v>
      </c>
      <c r="L316" s="215" t="s">
        <v>159</v>
      </c>
      <c r="N316" s="77"/>
      <c r="O316" s="77"/>
    </row>
    <row r="317" spans="1:15" hidden="1">
      <c r="A317" s="214">
        <v>45713</v>
      </c>
      <c r="B317" s="215" t="s">
        <v>732</v>
      </c>
      <c r="C317" s="215" t="s">
        <v>179</v>
      </c>
      <c r="D317" s="215" t="s">
        <v>122</v>
      </c>
      <c r="E317" s="239">
        <v>7000</v>
      </c>
      <c r="F317" s="216">
        <f t="shared" si="11"/>
        <v>11.403961214802081</v>
      </c>
      <c r="G317" s="217">
        <v>613.82180000000005</v>
      </c>
      <c r="H317" s="77" t="s">
        <v>156</v>
      </c>
      <c r="I317" s="77" t="s">
        <v>733</v>
      </c>
      <c r="J317" s="215" t="s">
        <v>100</v>
      </c>
      <c r="K317" s="215" t="s">
        <v>508</v>
      </c>
      <c r="L317" s="215" t="s">
        <v>159</v>
      </c>
      <c r="N317" s="77"/>
      <c r="O317" s="77"/>
    </row>
    <row r="318" spans="1:15" hidden="1">
      <c r="A318" s="214">
        <v>45713</v>
      </c>
      <c r="B318" s="215" t="s">
        <v>734</v>
      </c>
      <c r="C318" s="215" t="s">
        <v>184</v>
      </c>
      <c r="D318" s="215" t="s">
        <v>122</v>
      </c>
      <c r="E318" s="239">
        <v>150000</v>
      </c>
      <c r="F318" s="216">
        <f t="shared" si="11"/>
        <v>244.37059746004456</v>
      </c>
      <c r="G318" s="217">
        <v>613.82180000000005</v>
      </c>
      <c r="H318" s="77" t="s">
        <v>156</v>
      </c>
      <c r="I318" s="77" t="s">
        <v>735</v>
      </c>
      <c r="J318" s="215" t="s">
        <v>100</v>
      </c>
      <c r="K318" s="215" t="s">
        <v>508</v>
      </c>
      <c r="L318" s="215" t="s">
        <v>159</v>
      </c>
      <c r="N318" s="77"/>
      <c r="O318" s="77"/>
    </row>
    <row r="319" spans="1:15" hidden="1">
      <c r="A319" s="214">
        <v>45713</v>
      </c>
      <c r="B319" s="215" t="s">
        <v>617</v>
      </c>
      <c r="C319" s="215" t="s">
        <v>278</v>
      </c>
      <c r="D319" s="215" t="s">
        <v>208</v>
      </c>
      <c r="E319" s="239">
        <v>180000</v>
      </c>
      <c r="F319" s="216">
        <f t="shared" si="11"/>
        <v>293.24471695205347</v>
      </c>
      <c r="G319" s="217">
        <v>613.82180000000005</v>
      </c>
      <c r="H319" s="77" t="s">
        <v>209</v>
      </c>
      <c r="I319" s="77" t="s">
        <v>618</v>
      </c>
      <c r="J319" s="215" t="s">
        <v>100</v>
      </c>
      <c r="K319" s="215" t="s">
        <v>508</v>
      </c>
      <c r="L319" s="215" t="s">
        <v>159</v>
      </c>
      <c r="N319" s="77"/>
      <c r="O319" s="77"/>
    </row>
    <row r="320" spans="1:15" hidden="1">
      <c r="A320" s="214">
        <v>45713</v>
      </c>
      <c r="B320" s="215" t="s">
        <v>619</v>
      </c>
      <c r="C320" s="215" t="s">
        <v>278</v>
      </c>
      <c r="D320" s="215" t="s">
        <v>208</v>
      </c>
      <c r="E320" s="239">
        <v>20000</v>
      </c>
      <c r="F320" s="216">
        <f t="shared" si="11"/>
        <v>32.582746328005946</v>
      </c>
      <c r="G320" s="217">
        <v>613.82180000000005</v>
      </c>
      <c r="H320" s="77" t="s">
        <v>209</v>
      </c>
      <c r="I320" s="77" t="s">
        <v>620</v>
      </c>
      <c r="J320" s="215" t="s">
        <v>100</v>
      </c>
      <c r="K320" s="215" t="s">
        <v>508</v>
      </c>
      <c r="L320" s="215" t="s">
        <v>159</v>
      </c>
      <c r="N320" s="77"/>
      <c r="O320" s="77"/>
    </row>
    <row r="321" spans="1:15" hidden="1">
      <c r="A321" s="214">
        <v>45713</v>
      </c>
      <c r="B321" s="215" t="s">
        <v>922</v>
      </c>
      <c r="C321" s="215" t="s">
        <v>184</v>
      </c>
      <c r="D321" s="215" t="s">
        <v>208</v>
      </c>
      <c r="E321" s="215">
        <v>105000</v>
      </c>
      <c r="F321" s="216">
        <f t="shared" si="11"/>
        <v>181.26853794494306</v>
      </c>
      <c r="G321" s="217">
        <v>579.25109999999995</v>
      </c>
      <c r="H321" s="77" t="s">
        <v>192</v>
      </c>
      <c r="I321" s="77" t="s">
        <v>770</v>
      </c>
      <c r="J321" s="215" t="s">
        <v>100</v>
      </c>
      <c r="K321" s="215" t="s">
        <v>211</v>
      </c>
      <c r="L321" s="215" t="s">
        <v>159</v>
      </c>
      <c r="N321" s="77"/>
      <c r="O321" s="77"/>
    </row>
    <row r="322" spans="1:15" hidden="1">
      <c r="A322" s="214">
        <v>45713</v>
      </c>
      <c r="B322" s="215" t="s">
        <v>923</v>
      </c>
      <c r="C322" s="215" t="s">
        <v>184</v>
      </c>
      <c r="D322" s="215" t="s">
        <v>208</v>
      </c>
      <c r="E322" s="215">
        <v>105000</v>
      </c>
      <c r="F322" s="216">
        <f t="shared" si="11"/>
        <v>181.26853794494306</v>
      </c>
      <c r="G322" s="217">
        <v>579.25109999999995</v>
      </c>
      <c r="H322" s="77" t="s">
        <v>192</v>
      </c>
      <c r="I322" s="77" t="s">
        <v>771</v>
      </c>
      <c r="J322" s="215" t="s">
        <v>100</v>
      </c>
      <c r="K322" s="215" t="s">
        <v>211</v>
      </c>
      <c r="L322" s="215" t="s">
        <v>159</v>
      </c>
      <c r="N322" s="77"/>
      <c r="O322" s="77"/>
    </row>
    <row r="323" spans="1:15" hidden="1">
      <c r="A323" s="214">
        <v>45713</v>
      </c>
      <c r="B323" s="215" t="s">
        <v>900</v>
      </c>
      <c r="C323" s="215" t="s">
        <v>179</v>
      </c>
      <c r="D323" s="215" t="s">
        <v>124</v>
      </c>
      <c r="E323" s="239">
        <v>7000</v>
      </c>
      <c r="F323" s="216">
        <f t="shared" si="11"/>
        <v>11.403961214802081</v>
      </c>
      <c r="G323" s="217">
        <v>613.82180000000005</v>
      </c>
      <c r="H323" s="77" t="s">
        <v>340</v>
      </c>
      <c r="I323" s="77" t="s">
        <v>901</v>
      </c>
      <c r="J323" s="215" t="s">
        <v>100</v>
      </c>
      <c r="K323" s="215" t="s">
        <v>508</v>
      </c>
      <c r="L323" s="215" t="s">
        <v>159</v>
      </c>
      <c r="N323" s="77"/>
      <c r="O323" s="77"/>
    </row>
    <row r="324" spans="1:15" hidden="1">
      <c r="A324" s="214">
        <v>45713</v>
      </c>
      <c r="B324" s="215" t="s">
        <v>835</v>
      </c>
      <c r="C324" s="215" t="s">
        <v>184</v>
      </c>
      <c r="D324" s="215" t="s">
        <v>120</v>
      </c>
      <c r="E324" s="239">
        <v>150000</v>
      </c>
      <c r="F324" s="216">
        <f t="shared" si="11"/>
        <v>244.37059746004456</v>
      </c>
      <c r="G324" s="217">
        <v>613.82180000000005</v>
      </c>
      <c r="H324" s="77" t="s">
        <v>195</v>
      </c>
      <c r="I324" s="77" t="s">
        <v>836</v>
      </c>
      <c r="J324" s="215" t="s">
        <v>100</v>
      </c>
      <c r="K324" s="215" t="s">
        <v>508</v>
      </c>
      <c r="L324" s="215" t="s">
        <v>159</v>
      </c>
      <c r="N324" s="77"/>
      <c r="O324" s="77"/>
    </row>
    <row r="325" spans="1:15" hidden="1">
      <c r="A325" s="214">
        <v>45713</v>
      </c>
      <c r="B325" s="215" t="s">
        <v>581</v>
      </c>
      <c r="C325" s="215" t="s">
        <v>184</v>
      </c>
      <c r="D325" s="215" t="s">
        <v>123</v>
      </c>
      <c r="E325" s="239">
        <v>150000</v>
      </c>
      <c r="F325" s="216">
        <f t="shared" si="11"/>
        <v>244.37059746004456</v>
      </c>
      <c r="G325" s="217">
        <v>613.82180000000005</v>
      </c>
      <c r="H325" s="77" t="s">
        <v>223</v>
      </c>
      <c r="I325" s="77" t="s">
        <v>582</v>
      </c>
      <c r="J325" s="215" t="s">
        <v>100</v>
      </c>
      <c r="K325" s="215" t="s">
        <v>508</v>
      </c>
      <c r="L325" s="215" t="s">
        <v>159</v>
      </c>
      <c r="N325" s="77"/>
      <c r="O325" s="77"/>
    </row>
    <row r="326" spans="1:15" hidden="1">
      <c r="A326" s="214">
        <v>45714</v>
      </c>
      <c r="B326" s="215" t="s">
        <v>706</v>
      </c>
      <c r="C326" s="215" t="s">
        <v>269</v>
      </c>
      <c r="D326" s="215" t="s">
        <v>120</v>
      </c>
      <c r="E326" s="239">
        <v>148000</v>
      </c>
      <c r="F326" s="216">
        <f t="shared" si="11"/>
        <v>241.11232282724399</v>
      </c>
      <c r="G326" s="217">
        <v>613.82180000000005</v>
      </c>
      <c r="H326" s="77" t="s">
        <v>161</v>
      </c>
      <c r="I326" s="77" t="s">
        <v>707</v>
      </c>
      <c r="J326" s="215" t="s">
        <v>100</v>
      </c>
      <c r="K326" s="215" t="s">
        <v>508</v>
      </c>
      <c r="L326" s="215" t="s">
        <v>159</v>
      </c>
      <c r="N326" s="77"/>
      <c r="O326" s="77"/>
    </row>
    <row r="327" spans="1:15" hidden="1">
      <c r="A327" s="214">
        <v>45714</v>
      </c>
      <c r="B327" s="215" t="s">
        <v>697</v>
      </c>
      <c r="C327" s="215" t="s">
        <v>1539</v>
      </c>
      <c r="D327" s="215" t="s">
        <v>121</v>
      </c>
      <c r="E327" s="239">
        <v>10980</v>
      </c>
      <c r="F327" s="216">
        <f t="shared" si="11"/>
        <v>17.887927734075262</v>
      </c>
      <c r="G327" s="217">
        <v>613.82180000000005</v>
      </c>
      <c r="H327" s="77" t="s">
        <v>673</v>
      </c>
      <c r="I327" s="77" t="s">
        <v>705</v>
      </c>
      <c r="J327" s="215" t="s">
        <v>100</v>
      </c>
      <c r="K327" s="215" t="s">
        <v>508</v>
      </c>
      <c r="L327" s="215" t="s">
        <v>159</v>
      </c>
      <c r="N327" s="77"/>
      <c r="O327" s="77"/>
    </row>
    <row r="328" spans="1:15" hidden="1">
      <c r="A328" s="214">
        <v>45714</v>
      </c>
      <c r="B328" s="215" t="s">
        <v>902</v>
      </c>
      <c r="C328" s="215" t="s">
        <v>184</v>
      </c>
      <c r="D328" s="215" t="s">
        <v>124</v>
      </c>
      <c r="E328" s="239">
        <v>20000</v>
      </c>
      <c r="F328" s="216">
        <f t="shared" si="11"/>
        <v>32.582746328005946</v>
      </c>
      <c r="G328" s="217">
        <v>613.82180000000005</v>
      </c>
      <c r="H328" s="77" t="s">
        <v>340</v>
      </c>
      <c r="I328" s="77" t="s">
        <v>903</v>
      </c>
      <c r="J328" s="215" t="s">
        <v>100</v>
      </c>
      <c r="K328" s="215" t="s">
        <v>508</v>
      </c>
      <c r="L328" s="215" t="s">
        <v>159</v>
      </c>
      <c r="N328" s="77"/>
      <c r="O328" s="77"/>
    </row>
    <row r="329" spans="1:15" hidden="1">
      <c r="A329" s="214">
        <v>45714</v>
      </c>
      <c r="B329" s="215" t="s">
        <v>819</v>
      </c>
      <c r="C329" s="215" t="s">
        <v>179</v>
      </c>
      <c r="D329" s="215" t="s">
        <v>124</v>
      </c>
      <c r="E329" s="239">
        <v>40100</v>
      </c>
      <c r="F329" s="216">
        <f t="shared" si="11"/>
        <v>65.32840638765191</v>
      </c>
      <c r="G329" s="217">
        <v>613.82180000000005</v>
      </c>
      <c r="H329" s="77" t="s">
        <v>351</v>
      </c>
      <c r="I329" s="77" t="s">
        <v>820</v>
      </c>
      <c r="J329" s="215" t="s">
        <v>100</v>
      </c>
      <c r="K329" s="215" t="s">
        <v>508</v>
      </c>
      <c r="L329" s="215" t="s">
        <v>159</v>
      </c>
      <c r="N329" s="77"/>
      <c r="O329" s="77"/>
    </row>
    <row r="330" spans="1:15" hidden="1">
      <c r="A330" s="214">
        <v>45714</v>
      </c>
      <c r="B330" s="215" t="s">
        <v>606</v>
      </c>
      <c r="C330" s="215" t="s">
        <v>334</v>
      </c>
      <c r="D330" s="215" t="s">
        <v>120</v>
      </c>
      <c r="E330" s="215">
        <v>4000</v>
      </c>
      <c r="F330" s="216">
        <f t="shared" si="11"/>
        <v>6.9054681121883075</v>
      </c>
      <c r="G330" s="217">
        <v>579.25109999999995</v>
      </c>
      <c r="H330" s="77" t="s">
        <v>198</v>
      </c>
      <c r="I330" s="77" t="s">
        <v>607</v>
      </c>
      <c r="J330" s="215" t="s">
        <v>100</v>
      </c>
      <c r="K330" s="215" t="s">
        <v>211</v>
      </c>
      <c r="L330" s="215" t="s">
        <v>159</v>
      </c>
      <c r="N330" s="77"/>
      <c r="O330" s="77"/>
    </row>
    <row r="331" spans="1:15" hidden="1">
      <c r="A331" s="270">
        <v>45715</v>
      </c>
      <c r="B331" s="215" t="s">
        <v>708</v>
      </c>
      <c r="C331" s="215" t="s">
        <v>324</v>
      </c>
      <c r="D331" s="215" t="s">
        <v>121</v>
      </c>
      <c r="E331" s="215">
        <v>20000</v>
      </c>
      <c r="F331" s="216">
        <f t="shared" si="11"/>
        <v>34.527340560941539</v>
      </c>
      <c r="G331" s="217">
        <v>579.25109999999995</v>
      </c>
      <c r="H331" s="77" t="s">
        <v>161</v>
      </c>
      <c r="I331" s="77" t="s">
        <v>709</v>
      </c>
      <c r="J331" s="215" t="s">
        <v>100</v>
      </c>
      <c r="K331" s="215" t="s">
        <v>211</v>
      </c>
      <c r="L331" s="215" t="s">
        <v>159</v>
      </c>
      <c r="N331" s="77"/>
      <c r="O331" s="77"/>
    </row>
    <row r="332" spans="1:15" hidden="1">
      <c r="A332" s="214">
        <v>45715</v>
      </c>
      <c r="B332" s="215" t="s">
        <v>904</v>
      </c>
      <c r="C332" s="215" t="s">
        <v>411</v>
      </c>
      <c r="D332" s="215" t="s">
        <v>124</v>
      </c>
      <c r="E332" s="215">
        <v>29000</v>
      </c>
      <c r="F332" s="216">
        <f t="shared" si="11"/>
        <v>50.06464381336523</v>
      </c>
      <c r="G332" s="217">
        <v>579.25109999999995</v>
      </c>
      <c r="H332" s="77" t="s">
        <v>340</v>
      </c>
      <c r="I332" s="77" t="s">
        <v>905</v>
      </c>
      <c r="J332" s="215" t="s">
        <v>100</v>
      </c>
      <c r="K332" s="215" t="s">
        <v>211</v>
      </c>
      <c r="L332" s="215" t="s">
        <v>159</v>
      </c>
      <c r="N332" s="77"/>
      <c r="O332" s="77"/>
    </row>
    <row r="333" spans="1:15" hidden="1">
      <c r="A333" s="214">
        <v>45715</v>
      </c>
      <c r="B333" s="215" t="s">
        <v>855</v>
      </c>
      <c r="C333" s="215" t="s">
        <v>179</v>
      </c>
      <c r="D333" s="215" t="s">
        <v>120</v>
      </c>
      <c r="E333" s="215">
        <v>26900</v>
      </c>
      <c r="F333" s="216">
        <f t="shared" si="11"/>
        <v>46.439273054466369</v>
      </c>
      <c r="G333" s="217">
        <v>579.25109999999995</v>
      </c>
      <c r="H333" s="77" t="s">
        <v>201</v>
      </c>
      <c r="I333" s="77" t="s">
        <v>856</v>
      </c>
      <c r="J333" s="215" t="s">
        <v>100</v>
      </c>
      <c r="K333" s="215" t="s">
        <v>211</v>
      </c>
      <c r="L333" s="215" t="s">
        <v>159</v>
      </c>
      <c r="N333" s="77"/>
      <c r="O333" s="77"/>
    </row>
    <row r="334" spans="1:15" hidden="1">
      <c r="A334" s="214">
        <v>45715</v>
      </c>
      <c r="B334" s="215" t="s">
        <v>710</v>
      </c>
      <c r="C334" s="215" t="s">
        <v>1539</v>
      </c>
      <c r="D334" s="215" t="s">
        <v>121</v>
      </c>
      <c r="E334" s="215">
        <v>560</v>
      </c>
      <c r="F334" s="216">
        <f t="shared" si="11"/>
        <v>0.93929314835967548</v>
      </c>
      <c r="G334" s="215">
        <v>596.19299999999998</v>
      </c>
      <c r="H334" s="77" t="s">
        <v>201</v>
      </c>
      <c r="I334" s="77" t="s">
        <v>711</v>
      </c>
      <c r="J334" s="215" t="s">
        <v>100</v>
      </c>
      <c r="K334" s="215" t="s">
        <v>158</v>
      </c>
      <c r="L334" s="215" t="s">
        <v>159</v>
      </c>
      <c r="N334" s="77"/>
      <c r="O334" s="77"/>
    </row>
    <row r="335" spans="1:15" hidden="1">
      <c r="A335" s="214">
        <v>45716</v>
      </c>
      <c r="B335" s="215" t="s">
        <v>736</v>
      </c>
      <c r="C335" s="215" t="s">
        <v>179</v>
      </c>
      <c r="D335" s="215" t="s">
        <v>122</v>
      </c>
      <c r="E335" s="215">
        <v>39500</v>
      </c>
      <c r="F335" s="216">
        <f t="shared" si="11"/>
        <v>68.191497607859532</v>
      </c>
      <c r="G335" s="217">
        <v>579.25109999999995</v>
      </c>
      <c r="H335" s="77" t="s">
        <v>156</v>
      </c>
      <c r="I335" s="77" t="s">
        <v>737</v>
      </c>
      <c r="J335" s="215" t="s">
        <v>100</v>
      </c>
      <c r="K335" s="215" t="s">
        <v>211</v>
      </c>
      <c r="L335" s="215" t="s">
        <v>159</v>
      </c>
      <c r="N335" s="77"/>
      <c r="O335" s="77"/>
    </row>
    <row r="336" spans="1:15" hidden="1">
      <c r="A336" s="214">
        <v>45716</v>
      </c>
      <c r="B336" s="215" t="s">
        <v>621</v>
      </c>
      <c r="C336" s="215" t="s">
        <v>179</v>
      </c>
      <c r="D336" s="215" t="s">
        <v>120</v>
      </c>
      <c r="E336" s="215">
        <v>14000</v>
      </c>
      <c r="F336" s="216">
        <f t="shared" si="11"/>
        <v>24.169138392659075</v>
      </c>
      <c r="G336" s="217">
        <v>579.25109999999995</v>
      </c>
      <c r="H336" s="77" t="s">
        <v>209</v>
      </c>
      <c r="I336" s="77" t="s">
        <v>622</v>
      </c>
      <c r="J336" s="215" t="s">
        <v>100</v>
      </c>
      <c r="K336" s="215" t="s">
        <v>211</v>
      </c>
      <c r="L336" s="215" t="s">
        <v>159</v>
      </c>
      <c r="N336" s="77"/>
      <c r="O336" s="77"/>
    </row>
    <row r="337" spans="1:15" hidden="1">
      <c r="A337" s="214">
        <v>45716</v>
      </c>
      <c r="B337" s="215" t="s">
        <v>738</v>
      </c>
      <c r="C337" s="215" t="s">
        <v>179</v>
      </c>
      <c r="D337" s="215" t="s">
        <v>121</v>
      </c>
      <c r="E337" s="215">
        <v>35500</v>
      </c>
      <c r="F337" s="216">
        <f t="shared" si="11"/>
        <v>61.286029495671229</v>
      </c>
      <c r="G337" s="217">
        <v>579.25109999999995</v>
      </c>
      <c r="H337" s="77" t="s">
        <v>161</v>
      </c>
      <c r="I337" s="77" t="s">
        <v>739</v>
      </c>
      <c r="J337" s="215" t="s">
        <v>100</v>
      </c>
      <c r="K337" s="215" t="s">
        <v>211</v>
      </c>
      <c r="L337" s="215" t="s">
        <v>159</v>
      </c>
      <c r="N337" s="77"/>
      <c r="O337" s="77"/>
    </row>
    <row r="338" spans="1:15" hidden="1">
      <c r="A338" s="214">
        <v>45716</v>
      </c>
      <c r="B338" s="215" t="s">
        <v>712</v>
      </c>
      <c r="C338" s="215" t="s">
        <v>324</v>
      </c>
      <c r="D338" s="215" t="s">
        <v>121</v>
      </c>
      <c r="E338" s="215">
        <v>6000</v>
      </c>
      <c r="F338" s="216">
        <f t="shared" si="11"/>
        <v>10.35820216828246</v>
      </c>
      <c r="G338" s="217">
        <v>579.25109999999995</v>
      </c>
      <c r="H338" s="77" t="s">
        <v>161</v>
      </c>
      <c r="I338" s="77" t="s">
        <v>713</v>
      </c>
      <c r="J338" s="215" t="s">
        <v>100</v>
      </c>
      <c r="K338" s="215" t="s">
        <v>211</v>
      </c>
      <c r="L338" s="215" t="s">
        <v>159</v>
      </c>
      <c r="N338" s="77"/>
      <c r="O338" s="77"/>
    </row>
    <row r="339" spans="1:15" hidden="1">
      <c r="A339" s="214">
        <v>45716</v>
      </c>
      <c r="B339" s="215" t="s">
        <v>716</v>
      </c>
      <c r="C339" s="215" t="s">
        <v>717</v>
      </c>
      <c r="D339" s="215" t="s">
        <v>121</v>
      </c>
      <c r="E339" s="215">
        <v>45050</v>
      </c>
      <c r="F339" s="216">
        <f t="shared" si="11"/>
        <v>77.772834613520814</v>
      </c>
      <c r="G339" s="217">
        <v>579.25109999999995</v>
      </c>
      <c r="H339" s="77" t="s">
        <v>161</v>
      </c>
      <c r="I339" s="77" t="s">
        <v>718</v>
      </c>
      <c r="J339" s="215" t="s">
        <v>100</v>
      </c>
      <c r="K339" s="215" t="s">
        <v>211</v>
      </c>
      <c r="L339" s="215" t="s">
        <v>159</v>
      </c>
      <c r="N339" s="77"/>
      <c r="O339" s="77"/>
    </row>
    <row r="340" spans="1:15" hidden="1">
      <c r="A340" s="214">
        <v>45716</v>
      </c>
      <c r="B340" s="215" t="s">
        <v>721</v>
      </c>
      <c r="C340" s="215" t="s">
        <v>1538</v>
      </c>
      <c r="D340" s="215" t="s">
        <v>121</v>
      </c>
      <c r="E340" s="215">
        <v>182000</v>
      </c>
      <c r="F340" s="216">
        <f t="shared" si="11"/>
        <v>314.19879910456797</v>
      </c>
      <c r="G340" s="217">
        <v>579.25109999999995</v>
      </c>
      <c r="H340" s="77" t="s">
        <v>161</v>
      </c>
      <c r="I340" s="77" t="s">
        <v>722</v>
      </c>
      <c r="J340" s="215" t="s">
        <v>100</v>
      </c>
      <c r="K340" s="215" t="s">
        <v>211</v>
      </c>
      <c r="L340" s="215" t="s">
        <v>159</v>
      </c>
      <c r="N340" s="77"/>
      <c r="O340" s="77"/>
    </row>
    <row r="341" spans="1:15" hidden="1">
      <c r="A341" s="214">
        <v>45716</v>
      </c>
      <c r="B341" s="215" t="s">
        <v>723</v>
      </c>
      <c r="C341" s="215" t="s">
        <v>130</v>
      </c>
      <c r="D341" s="215" t="s">
        <v>121</v>
      </c>
      <c r="E341" s="215">
        <v>10500</v>
      </c>
      <c r="F341" s="216">
        <f t="shared" si="11"/>
        <v>18.126853794494306</v>
      </c>
      <c r="G341" s="217">
        <v>579.25109999999995</v>
      </c>
      <c r="H341" s="77" t="s">
        <v>161</v>
      </c>
      <c r="I341" s="77" t="s">
        <v>724</v>
      </c>
      <c r="J341" s="215" t="s">
        <v>100</v>
      </c>
      <c r="K341" s="215" t="s">
        <v>211</v>
      </c>
      <c r="L341" s="215" t="s">
        <v>159</v>
      </c>
      <c r="N341" s="77"/>
      <c r="O341" s="77"/>
    </row>
    <row r="342" spans="1:15" hidden="1">
      <c r="A342" s="214">
        <v>45715</v>
      </c>
      <c r="B342" s="215" t="s">
        <v>742</v>
      </c>
      <c r="C342" s="215" t="s">
        <v>179</v>
      </c>
      <c r="D342" s="215" t="s">
        <v>121</v>
      </c>
      <c r="E342" s="215">
        <v>7000</v>
      </c>
      <c r="F342" s="216">
        <f>E342/G342</f>
        <v>11.741164354495943</v>
      </c>
      <c r="G342" s="215">
        <v>596.19299999999998</v>
      </c>
      <c r="H342" s="77" t="s">
        <v>673</v>
      </c>
      <c r="I342" s="77" t="s">
        <v>743</v>
      </c>
      <c r="J342" s="215" t="s">
        <v>100</v>
      </c>
      <c r="K342" s="215" t="s">
        <v>158</v>
      </c>
      <c r="L342" s="215" t="s">
        <v>159</v>
      </c>
      <c r="N342" s="77"/>
      <c r="O342" s="77"/>
    </row>
    <row r="343" spans="1:15" hidden="1">
      <c r="A343" s="214">
        <v>45716</v>
      </c>
      <c r="B343" s="215" t="s">
        <v>714</v>
      </c>
      <c r="C343" s="215" t="s">
        <v>1539</v>
      </c>
      <c r="D343" s="215" t="s">
        <v>121</v>
      </c>
      <c r="E343" s="215">
        <v>7020</v>
      </c>
      <c r="F343" s="216">
        <f t="shared" ref="F343:F361" si="12">E343/G343</f>
        <v>12.119096536890479</v>
      </c>
      <c r="G343" s="217">
        <v>579.25109999999995</v>
      </c>
      <c r="H343" s="218" t="s">
        <v>673</v>
      </c>
      <c r="I343" s="220" t="s">
        <v>715</v>
      </c>
      <c r="J343" s="215" t="s">
        <v>100</v>
      </c>
      <c r="K343" s="215" t="s">
        <v>211</v>
      </c>
      <c r="L343" s="215" t="s">
        <v>159</v>
      </c>
      <c r="N343" s="77"/>
      <c r="O343" s="77"/>
    </row>
    <row r="344" spans="1:15" hidden="1">
      <c r="A344" s="214">
        <v>45716</v>
      </c>
      <c r="B344" s="215" t="s">
        <v>719</v>
      </c>
      <c r="C344" s="215" t="s">
        <v>324</v>
      </c>
      <c r="D344" s="215" t="s">
        <v>121</v>
      </c>
      <c r="E344" s="215">
        <v>75625</v>
      </c>
      <c r="F344" s="216">
        <f t="shared" si="12"/>
        <v>130.55650649606019</v>
      </c>
      <c r="G344" s="217">
        <v>579.25109999999995</v>
      </c>
      <c r="H344" s="218" t="s">
        <v>673</v>
      </c>
      <c r="I344" s="220" t="s">
        <v>720</v>
      </c>
      <c r="J344" s="215" t="s">
        <v>100</v>
      </c>
      <c r="K344" s="215" t="s">
        <v>211</v>
      </c>
      <c r="L344" s="215" t="s">
        <v>159</v>
      </c>
      <c r="N344" s="77"/>
      <c r="O344" s="77"/>
    </row>
    <row r="345" spans="1:15" ht="15.6" hidden="1">
      <c r="A345" s="214">
        <v>45716</v>
      </c>
      <c r="B345" s="215" t="s">
        <v>772</v>
      </c>
      <c r="C345" s="215" t="s">
        <v>179</v>
      </c>
      <c r="D345" s="215" t="s">
        <v>124</v>
      </c>
      <c r="E345" s="215">
        <v>6000</v>
      </c>
      <c r="F345" s="216">
        <f t="shared" si="12"/>
        <v>10.35820216828246</v>
      </c>
      <c r="G345" s="217">
        <v>579.25109999999995</v>
      </c>
      <c r="H345" s="236" t="s">
        <v>192</v>
      </c>
      <c r="I345" s="236" t="s">
        <v>773</v>
      </c>
      <c r="J345" s="215" t="s">
        <v>100</v>
      </c>
      <c r="K345" s="215" t="s">
        <v>211</v>
      </c>
      <c r="L345" s="215" t="s">
        <v>159</v>
      </c>
      <c r="N345" s="77"/>
      <c r="O345" s="77"/>
    </row>
    <row r="346" spans="1:15" ht="15.6" hidden="1">
      <c r="A346" s="214">
        <v>45716</v>
      </c>
      <c r="B346" s="215" t="s">
        <v>774</v>
      </c>
      <c r="C346" s="215" t="s">
        <v>184</v>
      </c>
      <c r="D346" s="215" t="s">
        <v>124</v>
      </c>
      <c r="E346" s="215">
        <v>60000</v>
      </c>
      <c r="F346" s="216">
        <f t="shared" si="12"/>
        <v>103.5820216828246</v>
      </c>
      <c r="G346" s="217">
        <v>579.25109999999995</v>
      </c>
      <c r="H346" s="236" t="s">
        <v>192</v>
      </c>
      <c r="I346" s="236" t="s">
        <v>775</v>
      </c>
      <c r="J346" s="215" t="s">
        <v>100</v>
      </c>
      <c r="K346" s="215" t="s">
        <v>211</v>
      </c>
      <c r="L346" s="215" t="s">
        <v>159</v>
      </c>
      <c r="N346" s="77"/>
      <c r="O346" s="77"/>
    </row>
    <row r="347" spans="1:15" ht="15.6" hidden="1">
      <c r="A347" s="214">
        <v>45716</v>
      </c>
      <c r="B347" s="215" t="s">
        <v>776</v>
      </c>
      <c r="C347" s="215" t="s">
        <v>179</v>
      </c>
      <c r="D347" s="215" t="s">
        <v>124</v>
      </c>
      <c r="E347" s="215">
        <v>66800</v>
      </c>
      <c r="F347" s="216">
        <f t="shared" si="12"/>
        <v>115.32131747354472</v>
      </c>
      <c r="G347" s="217">
        <v>579.25109999999995</v>
      </c>
      <c r="H347" s="236" t="s">
        <v>192</v>
      </c>
      <c r="I347" s="236" t="s">
        <v>777</v>
      </c>
      <c r="J347" s="215" t="s">
        <v>100</v>
      </c>
      <c r="K347" s="215" t="s">
        <v>211</v>
      </c>
      <c r="L347" s="215" t="s">
        <v>159</v>
      </c>
      <c r="N347" s="77"/>
      <c r="O347" s="77"/>
    </row>
    <row r="348" spans="1:15" hidden="1">
      <c r="A348" s="214">
        <v>45716</v>
      </c>
      <c r="B348" s="215" t="s">
        <v>792</v>
      </c>
      <c r="C348" s="215" t="s">
        <v>184</v>
      </c>
      <c r="D348" s="215" t="s">
        <v>124</v>
      </c>
      <c r="E348" s="215">
        <v>60000</v>
      </c>
      <c r="F348" s="216">
        <f t="shared" si="12"/>
        <v>103.5820216828246</v>
      </c>
      <c r="G348" s="217">
        <v>579.25109999999995</v>
      </c>
      <c r="H348" s="77" t="s">
        <v>181</v>
      </c>
      <c r="I348" s="77" t="s">
        <v>793</v>
      </c>
      <c r="J348" s="215" t="s">
        <v>100</v>
      </c>
      <c r="K348" s="215" t="s">
        <v>211</v>
      </c>
      <c r="L348" s="215" t="s">
        <v>159</v>
      </c>
      <c r="N348" s="77"/>
      <c r="O348" s="77"/>
    </row>
    <row r="349" spans="1:15" hidden="1">
      <c r="A349" s="214">
        <v>45716</v>
      </c>
      <c r="B349" s="215" t="s">
        <v>794</v>
      </c>
      <c r="C349" s="215" t="s">
        <v>179</v>
      </c>
      <c r="D349" s="215" t="s">
        <v>124</v>
      </c>
      <c r="E349" s="215">
        <v>6000</v>
      </c>
      <c r="F349" s="216">
        <f t="shared" si="12"/>
        <v>10.35820216828246</v>
      </c>
      <c r="G349" s="217">
        <v>579.25109999999995</v>
      </c>
      <c r="H349" s="77" t="s">
        <v>181</v>
      </c>
      <c r="I349" s="77" t="s">
        <v>795</v>
      </c>
      <c r="J349" s="215" t="s">
        <v>100</v>
      </c>
      <c r="K349" s="215" t="s">
        <v>211</v>
      </c>
      <c r="L349" s="215" t="s">
        <v>159</v>
      </c>
      <c r="N349" s="77"/>
      <c r="O349" s="77"/>
    </row>
    <row r="350" spans="1:15" hidden="1">
      <c r="A350" s="214">
        <v>45716</v>
      </c>
      <c r="B350" s="215" t="s">
        <v>796</v>
      </c>
      <c r="C350" s="215" t="s">
        <v>179</v>
      </c>
      <c r="D350" s="215" t="s">
        <v>124</v>
      </c>
      <c r="E350" s="215">
        <v>53700</v>
      </c>
      <c r="F350" s="216">
        <f t="shared" si="12"/>
        <v>92.705909406128029</v>
      </c>
      <c r="G350" s="217">
        <v>579.25109999999995</v>
      </c>
      <c r="H350" s="77" t="s">
        <v>181</v>
      </c>
      <c r="I350" s="77" t="s">
        <v>797</v>
      </c>
      <c r="J350" s="215" t="s">
        <v>100</v>
      </c>
      <c r="K350" s="215" t="s">
        <v>211</v>
      </c>
      <c r="L350" s="215" t="s">
        <v>159</v>
      </c>
      <c r="N350" s="77"/>
      <c r="O350" s="77"/>
    </row>
    <row r="351" spans="1:15" hidden="1">
      <c r="A351" s="214">
        <v>45716</v>
      </c>
      <c r="B351" s="215" t="s">
        <v>906</v>
      </c>
      <c r="C351" s="215" t="s">
        <v>184</v>
      </c>
      <c r="D351" s="215" t="s">
        <v>124</v>
      </c>
      <c r="E351" s="215">
        <v>30000</v>
      </c>
      <c r="F351" s="216">
        <f t="shared" si="12"/>
        <v>51.791010841412302</v>
      </c>
      <c r="G351" s="217">
        <v>579.25109999999995</v>
      </c>
      <c r="H351" s="238" t="s">
        <v>340</v>
      </c>
      <c r="I351" s="77" t="s">
        <v>907</v>
      </c>
      <c r="J351" s="215" t="s">
        <v>100</v>
      </c>
      <c r="K351" s="215" t="s">
        <v>211</v>
      </c>
      <c r="L351" s="215" t="s">
        <v>159</v>
      </c>
      <c r="N351" s="77"/>
      <c r="O351" s="77"/>
    </row>
    <row r="352" spans="1:15" hidden="1">
      <c r="A352" s="214">
        <v>45716</v>
      </c>
      <c r="B352" s="215" t="s">
        <v>898</v>
      </c>
      <c r="C352" s="215" t="s">
        <v>179</v>
      </c>
      <c r="D352" s="215" t="s">
        <v>124</v>
      </c>
      <c r="E352" s="215">
        <v>7000</v>
      </c>
      <c r="F352" s="216">
        <f t="shared" si="12"/>
        <v>12.084569196329538</v>
      </c>
      <c r="G352" s="217">
        <v>579.25109999999995</v>
      </c>
      <c r="H352" s="238" t="s">
        <v>340</v>
      </c>
      <c r="I352" s="77" t="s">
        <v>908</v>
      </c>
      <c r="J352" s="215" t="s">
        <v>100</v>
      </c>
      <c r="K352" s="215" t="s">
        <v>211</v>
      </c>
      <c r="L352" s="215" t="s">
        <v>159</v>
      </c>
      <c r="N352" s="77"/>
      <c r="O352" s="77"/>
    </row>
    <row r="353" spans="1:15" hidden="1">
      <c r="A353" s="214">
        <v>45716</v>
      </c>
      <c r="B353" s="215" t="s">
        <v>909</v>
      </c>
      <c r="C353" s="215" t="s">
        <v>179</v>
      </c>
      <c r="D353" s="215" t="s">
        <v>124</v>
      </c>
      <c r="E353" s="215">
        <v>66500</v>
      </c>
      <c r="F353" s="216">
        <f t="shared" si="12"/>
        <v>114.80340736513061</v>
      </c>
      <c r="G353" s="217">
        <v>579.25109999999995</v>
      </c>
      <c r="H353" s="238" t="s">
        <v>340</v>
      </c>
      <c r="I353" s="77" t="s">
        <v>910</v>
      </c>
      <c r="J353" s="215" t="s">
        <v>100</v>
      </c>
      <c r="K353" s="215" t="s">
        <v>211</v>
      </c>
      <c r="L353" s="215" t="s">
        <v>159</v>
      </c>
      <c r="N353" s="77"/>
      <c r="O353" s="77"/>
    </row>
    <row r="354" spans="1:15" hidden="1">
      <c r="A354" s="214">
        <v>45716</v>
      </c>
      <c r="B354" s="215" t="s">
        <v>837</v>
      </c>
      <c r="C354" s="215" t="s">
        <v>1538</v>
      </c>
      <c r="D354" s="215" t="s">
        <v>120</v>
      </c>
      <c r="E354" s="215">
        <v>24675</v>
      </c>
      <c r="F354" s="216">
        <f t="shared" si="12"/>
        <v>42.598106417061622</v>
      </c>
      <c r="G354" s="217">
        <v>579.25109999999995</v>
      </c>
      <c r="H354" s="77" t="s">
        <v>195</v>
      </c>
      <c r="I354" s="77" t="s">
        <v>838</v>
      </c>
      <c r="J354" s="215" t="s">
        <v>100</v>
      </c>
      <c r="K354" s="215" t="s">
        <v>211</v>
      </c>
      <c r="L354" s="215" t="s">
        <v>159</v>
      </c>
      <c r="N354" s="77"/>
      <c r="O354" s="77"/>
    </row>
    <row r="355" spans="1:15" hidden="1">
      <c r="A355" s="214">
        <v>45716</v>
      </c>
      <c r="B355" s="215" t="s">
        <v>839</v>
      </c>
      <c r="C355" s="215" t="s">
        <v>179</v>
      </c>
      <c r="D355" s="215" t="s">
        <v>120</v>
      </c>
      <c r="E355" s="215">
        <v>35500</v>
      </c>
      <c r="F355" s="216">
        <f t="shared" si="12"/>
        <v>61.286029495671229</v>
      </c>
      <c r="G355" s="217">
        <v>579.25109999999995</v>
      </c>
      <c r="H355" s="77" t="s">
        <v>195</v>
      </c>
      <c r="I355" s="77" t="s">
        <v>840</v>
      </c>
      <c r="J355" s="215" t="s">
        <v>100</v>
      </c>
      <c r="K355" s="215" t="s">
        <v>211</v>
      </c>
      <c r="L355" s="215" t="s">
        <v>159</v>
      </c>
      <c r="N355" s="77"/>
      <c r="O355" s="77"/>
    </row>
    <row r="356" spans="1:15" hidden="1">
      <c r="A356" s="214">
        <v>45716</v>
      </c>
      <c r="B356" s="215" t="s">
        <v>608</v>
      </c>
      <c r="C356" s="215" t="s">
        <v>334</v>
      </c>
      <c r="D356" s="215" t="s">
        <v>120</v>
      </c>
      <c r="E356" s="215">
        <v>18000</v>
      </c>
      <c r="F356" s="216">
        <f t="shared" si="12"/>
        <v>31.074606504847381</v>
      </c>
      <c r="G356" s="217">
        <v>579.25109999999995</v>
      </c>
      <c r="H356" s="77" t="s">
        <v>198</v>
      </c>
      <c r="I356" s="77" t="s">
        <v>609</v>
      </c>
      <c r="J356" s="215" t="s">
        <v>100</v>
      </c>
      <c r="K356" s="215" t="s">
        <v>211</v>
      </c>
      <c r="L356" s="215" t="s">
        <v>159</v>
      </c>
      <c r="N356" s="77"/>
      <c r="O356" s="77"/>
    </row>
    <row r="357" spans="1:15" hidden="1">
      <c r="A357" s="214">
        <v>45716</v>
      </c>
      <c r="B357" s="215" t="s">
        <v>911</v>
      </c>
      <c r="C357" s="215" t="s">
        <v>179</v>
      </c>
      <c r="D357" s="215" t="s">
        <v>120</v>
      </c>
      <c r="E357" s="215">
        <v>45000</v>
      </c>
      <c r="F357" s="216">
        <f t="shared" si="12"/>
        <v>77.68651626211846</v>
      </c>
      <c r="G357" s="217">
        <v>579.25109999999995</v>
      </c>
      <c r="H357" s="77" t="s">
        <v>198</v>
      </c>
      <c r="I357" s="77" t="s">
        <v>912</v>
      </c>
      <c r="J357" s="215" t="s">
        <v>100</v>
      </c>
      <c r="K357" s="215" t="s">
        <v>211</v>
      </c>
      <c r="L357" s="215" t="s">
        <v>159</v>
      </c>
      <c r="N357" s="77"/>
      <c r="O357" s="77"/>
    </row>
    <row r="358" spans="1:15" hidden="1">
      <c r="A358" s="214">
        <v>45716</v>
      </c>
      <c r="B358" s="215" t="s">
        <v>583</v>
      </c>
      <c r="C358" s="215" t="s">
        <v>184</v>
      </c>
      <c r="D358" s="215" t="s">
        <v>123</v>
      </c>
      <c r="E358" s="215">
        <v>45000</v>
      </c>
      <c r="F358" s="216">
        <f t="shared" si="12"/>
        <v>77.68651626211846</v>
      </c>
      <c r="G358" s="217">
        <v>579.25109999999995</v>
      </c>
      <c r="H358" s="77" t="s">
        <v>223</v>
      </c>
      <c r="I358" s="77" t="s">
        <v>584</v>
      </c>
      <c r="J358" s="215" t="s">
        <v>100</v>
      </c>
      <c r="K358" s="215" t="s">
        <v>211</v>
      </c>
      <c r="L358" s="215" t="s">
        <v>159</v>
      </c>
      <c r="N358" s="77"/>
      <c r="O358" s="77"/>
    </row>
    <row r="359" spans="1:15" hidden="1">
      <c r="A359" s="214">
        <v>45716</v>
      </c>
      <c r="B359" s="215" t="s">
        <v>288</v>
      </c>
      <c r="C359" s="215" t="s">
        <v>179</v>
      </c>
      <c r="D359" s="215" t="s">
        <v>123</v>
      </c>
      <c r="E359" s="215">
        <v>7000</v>
      </c>
      <c r="F359" s="216">
        <f t="shared" si="12"/>
        <v>12.084569196329538</v>
      </c>
      <c r="G359" s="217">
        <v>579.25109999999995</v>
      </c>
      <c r="H359" s="77" t="s">
        <v>223</v>
      </c>
      <c r="I359" s="77" t="s">
        <v>585</v>
      </c>
      <c r="J359" s="215" t="s">
        <v>100</v>
      </c>
      <c r="K359" s="215" t="s">
        <v>211</v>
      </c>
      <c r="L359" s="215" t="s">
        <v>159</v>
      </c>
      <c r="N359" s="77"/>
      <c r="O359" s="77"/>
    </row>
    <row r="360" spans="1:15" hidden="1">
      <c r="A360" s="214">
        <v>45716</v>
      </c>
      <c r="B360" s="215" t="s">
        <v>586</v>
      </c>
      <c r="C360" s="215" t="s">
        <v>179</v>
      </c>
      <c r="D360" s="215" t="s">
        <v>123</v>
      </c>
      <c r="E360" s="215">
        <v>33500</v>
      </c>
      <c r="F360" s="216">
        <f t="shared" si="12"/>
        <v>57.833295439577071</v>
      </c>
      <c r="G360" s="217">
        <v>579.25109999999995</v>
      </c>
      <c r="H360" s="77" t="s">
        <v>223</v>
      </c>
      <c r="I360" s="77" t="s">
        <v>587</v>
      </c>
      <c r="J360" s="215" t="s">
        <v>100</v>
      </c>
      <c r="K360" s="215" t="s">
        <v>211</v>
      </c>
      <c r="L360" s="215" t="s">
        <v>159</v>
      </c>
      <c r="N360" s="77"/>
      <c r="O360" s="77"/>
    </row>
    <row r="361" spans="1:15" hidden="1">
      <c r="A361" s="214">
        <v>45716</v>
      </c>
      <c r="B361" s="215" t="s">
        <v>592</v>
      </c>
      <c r="C361" s="215" t="s">
        <v>337</v>
      </c>
      <c r="D361" s="215" t="s">
        <v>123</v>
      </c>
      <c r="E361" s="215">
        <v>200000</v>
      </c>
      <c r="F361" s="216">
        <f t="shared" si="12"/>
        <v>345.27340560941536</v>
      </c>
      <c r="G361" s="217">
        <v>579.25109999999995</v>
      </c>
      <c r="H361" s="218" t="s">
        <v>223</v>
      </c>
      <c r="I361" s="218" t="s">
        <v>593</v>
      </c>
      <c r="J361" s="215" t="s">
        <v>100</v>
      </c>
      <c r="K361" s="215" t="s">
        <v>211</v>
      </c>
      <c r="L361" s="215" t="s">
        <v>159</v>
      </c>
      <c r="N361" s="77"/>
      <c r="O361" s="77"/>
    </row>
    <row r="362" spans="1:15">
      <c r="A362" s="296">
        <v>45717</v>
      </c>
      <c r="B362" s="215" t="s">
        <v>1454</v>
      </c>
      <c r="C362" s="215" t="s">
        <v>184</v>
      </c>
      <c r="D362" s="215" t="s">
        <v>524</v>
      </c>
      <c r="E362" s="222">
        <v>75000</v>
      </c>
      <c r="F362" s="283">
        <f>+E362/G362</f>
        <v>129.47754945610797</v>
      </c>
      <c r="G362" s="222">
        <v>579.25099999999998</v>
      </c>
      <c r="H362" s="215" t="s">
        <v>209</v>
      </c>
      <c r="I362" s="215" t="s">
        <v>1496</v>
      </c>
      <c r="J362" s="215" t="s">
        <v>100</v>
      </c>
      <c r="K362" s="215" t="s">
        <v>211</v>
      </c>
      <c r="L362" s="215" t="s">
        <v>159</v>
      </c>
      <c r="M362" s="285"/>
      <c r="N362" s="215"/>
      <c r="O362" s="77"/>
    </row>
    <row r="363" spans="1:15">
      <c r="A363" s="296">
        <v>45717</v>
      </c>
      <c r="B363" s="215" t="s">
        <v>1382</v>
      </c>
      <c r="C363" s="215" t="s">
        <v>179</v>
      </c>
      <c r="D363" s="215" t="s">
        <v>120</v>
      </c>
      <c r="E363" s="222">
        <v>7000</v>
      </c>
      <c r="F363" s="283">
        <f t="shared" ref="F363:F426" si="13">+E363/G363</f>
        <v>12.084571282570078</v>
      </c>
      <c r="G363" s="222">
        <v>579.25099999999998</v>
      </c>
      <c r="H363" s="215" t="s">
        <v>198</v>
      </c>
      <c r="I363" s="215" t="s">
        <v>1383</v>
      </c>
      <c r="J363" s="215" t="s">
        <v>100</v>
      </c>
      <c r="K363" s="215" t="s">
        <v>211</v>
      </c>
      <c r="L363" s="215" t="s">
        <v>159</v>
      </c>
      <c r="M363" s="284"/>
      <c r="N363" s="77"/>
      <c r="O363" s="77"/>
    </row>
    <row r="364" spans="1:15">
      <c r="A364" s="296">
        <v>45717</v>
      </c>
      <c r="B364" s="215" t="s">
        <v>1384</v>
      </c>
      <c r="C364" s="215" t="s">
        <v>184</v>
      </c>
      <c r="D364" s="215" t="s">
        <v>120</v>
      </c>
      <c r="E364" s="222">
        <v>135000</v>
      </c>
      <c r="F364" s="283">
        <f t="shared" si="13"/>
        <v>233.05958902099437</v>
      </c>
      <c r="G364" s="222">
        <v>579.25099999999998</v>
      </c>
      <c r="H364" s="215" t="s">
        <v>198</v>
      </c>
      <c r="I364" s="215" t="s">
        <v>1385</v>
      </c>
      <c r="J364" s="215" t="s">
        <v>100</v>
      </c>
      <c r="K364" s="215" t="s">
        <v>211</v>
      </c>
      <c r="L364" s="215" t="s">
        <v>159</v>
      </c>
      <c r="M364" s="284"/>
      <c r="N364" s="77"/>
      <c r="O364" s="77"/>
    </row>
    <row r="365" spans="1:15">
      <c r="A365" s="296">
        <v>45719</v>
      </c>
      <c r="B365" s="215" t="s">
        <v>931</v>
      </c>
      <c r="C365" s="215" t="s">
        <v>155</v>
      </c>
      <c r="D365" s="215" t="s">
        <v>122</v>
      </c>
      <c r="E365" s="222">
        <v>47000</v>
      </c>
      <c r="F365" s="283">
        <f t="shared" si="13"/>
        <v>81.139264325827668</v>
      </c>
      <c r="G365" s="222">
        <v>579.25099999999998</v>
      </c>
      <c r="H365" s="215" t="s">
        <v>161</v>
      </c>
      <c r="I365" s="215" t="s">
        <v>1070</v>
      </c>
      <c r="J365" s="215" t="s">
        <v>100</v>
      </c>
      <c r="K365" s="215" t="s">
        <v>211</v>
      </c>
      <c r="L365" s="215" t="s">
        <v>159</v>
      </c>
      <c r="M365" s="285"/>
      <c r="N365" s="215"/>
      <c r="O365" s="77"/>
    </row>
    <row r="366" spans="1:15">
      <c r="A366" s="296">
        <v>45719</v>
      </c>
      <c r="B366" s="215" t="s">
        <v>932</v>
      </c>
      <c r="C366" s="215" t="s">
        <v>155</v>
      </c>
      <c r="D366" s="215" t="s">
        <v>120</v>
      </c>
      <c r="E366" s="222">
        <v>74000</v>
      </c>
      <c r="F366" s="283">
        <f t="shared" si="13"/>
        <v>127.75118213002654</v>
      </c>
      <c r="G366" s="222">
        <v>579.25099999999998</v>
      </c>
      <c r="H366" s="215" t="s">
        <v>161</v>
      </c>
      <c r="I366" s="215" t="s">
        <v>1071</v>
      </c>
      <c r="J366" s="215" t="s">
        <v>100</v>
      </c>
      <c r="K366" s="215" t="s">
        <v>211</v>
      </c>
      <c r="L366" s="215" t="s">
        <v>159</v>
      </c>
      <c r="M366" s="285"/>
      <c r="N366" s="215"/>
      <c r="O366" s="77"/>
    </row>
    <row r="367" spans="1:15">
      <c r="A367" s="296">
        <v>45719</v>
      </c>
      <c r="B367" s="215" t="s">
        <v>933</v>
      </c>
      <c r="C367" s="215" t="s">
        <v>155</v>
      </c>
      <c r="D367" s="215" t="s">
        <v>124</v>
      </c>
      <c r="E367" s="222">
        <v>88000</v>
      </c>
      <c r="F367" s="283">
        <f t="shared" si="13"/>
        <v>151.9203246951667</v>
      </c>
      <c r="G367" s="222">
        <v>579.25099999999998</v>
      </c>
      <c r="H367" s="215" t="s">
        <v>161</v>
      </c>
      <c r="I367" s="215" t="s">
        <v>1072</v>
      </c>
      <c r="J367" s="215" t="s">
        <v>100</v>
      </c>
      <c r="K367" s="215" t="s">
        <v>211</v>
      </c>
      <c r="L367" s="215" t="s">
        <v>159</v>
      </c>
      <c r="M367" s="285"/>
      <c r="N367" s="215"/>
      <c r="O367" s="77"/>
    </row>
    <row r="368" spans="1:15">
      <c r="A368" s="296">
        <v>45719</v>
      </c>
      <c r="B368" s="215" t="s">
        <v>934</v>
      </c>
      <c r="C368" s="215" t="s">
        <v>155</v>
      </c>
      <c r="D368" s="215" t="s">
        <v>123</v>
      </c>
      <c r="E368" s="222">
        <v>10000</v>
      </c>
      <c r="F368" s="283">
        <f t="shared" si="13"/>
        <v>17.263673260814397</v>
      </c>
      <c r="G368" s="222">
        <v>579.25099999999998</v>
      </c>
      <c r="H368" s="215" t="s">
        <v>161</v>
      </c>
      <c r="I368" s="215" t="s">
        <v>1073</v>
      </c>
      <c r="J368" s="215" t="s">
        <v>100</v>
      </c>
      <c r="K368" s="215" t="s">
        <v>211</v>
      </c>
      <c r="L368" s="215" t="s">
        <v>159</v>
      </c>
      <c r="M368" s="285"/>
      <c r="N368" s="215"/>
      <c r="O368" s="77"/>
    </row>
    <row r="369" spans="1:15">
      <c r="A369" s="296">
        <v>45719</v>
      </c>
      <c r="B369" s="215" t="s">
        <v>935</v>
      </c>
      <c r="C369" s="215" t="s">
        <v>155</v>
      </c>
      <c r="D369" s="215" t="s">
        <v>120</v>
      </c>
      <c r="E369" s="222">
        <v>10000</v>
      </c>
      <c r="F369" s="283">
        <f t="shared" si="13"/>
        <v>17.263673260814397</v>
      </c>
      <c r="G369" s="222">
        <v>579.25099999999998</v>
      </c>
      <c r="H369" s="215" t="s">
        <v>161</v>
      </c>
      <c r="I369" s="215" t="s">
        <v>1074</v>
      </c>
      <c r="J369" s="215" t="s">
        <v>100</v>
      </c>
      <c r="K369" s="215" t="s">
        <v>211</v>
      </c>
      <c r="L369" s="215" t="s">
        <v>159</v>
      </c>
      <c r="M369" s="285"/>
      <c r="N369" s="215"/>
      <c r="O369" s="77"/>
    </row>
    <row r="370" spans="1:15">
      <c r="A370" s="296">
        <v>45719</v>
      </c>
      <c r="B370" s="215" t="s">
        <v>936</v>
      </c>
      <c r="C370" s="215" t="s">
        <v>155</v>
      </c>
      <c r="D370" s="215" t="s">
        <v>124</v>
      </c>
      <c r="E370" s="222">
        <v>16000</v>
      </c>
      <c r="F370" s="283">
        <f t="shared" si="13"/>
        <v>27.621877217303034</v>
      </c>
      <c r="G370" s="222">
        <v>579.25099999999998</v>
      </c>
      <c r="H370" s="215" t="s">
        <v>161</v>
      </c>
      <c r="I370" s="215" t="s">
        <v>1075</v>
      </c>
      <c r="J370" s="215" t="s">
        <v>100</v>
      </c>
      <c r="K370" s="215" t="s">
        <v>211</v>
      </c>
      <c r="L370" s="215" t="s">
        <v>159</v>
      </c>
      <c r="M370" s="285"/>
      <c r="N370" s="215"/>
      <c r="O370" s="77"/>
    </row>
    <row r="371" spans="1:15">
      <c r="A371" s="296">
        <v>45719</v>
      </c>
      <c r="B371" s="215" t="s">
        <v>937</v>
      </c>
      <c r="C371" s="215" t="s">
        <v>155</v>
      </c>
      <c r="D371" s="215" t="s">
        <v>123</v>
      </c>
      <c r="E371" s="222">
        <v>11000</v>
      </c>
      <c r="F371" s="283">
        <f t="shared" si="13"/>
        <v>18.990040586895837</v>
      </c>
      <c r="G371" s="222">
        <v>579.25099999999998</v>
      </c>
      <c r="H371" s="215" t="s">
        <v>161</v>
      </c>
      <c r="I371" s="215" t="s">
        <v>1076</v>
      </c>
      <c r="J371" s="215" t="s">
        <v>100</v>
      </c>
      <c r="K371" s="215" t="s">
        <v>211</v>
      </c>
      <c r="L371" s="215" t="s">
        <v>159</v>
      </c>
      <c r="M371" s="285"/>
      <c r="N371" s="215"/>
      <c r="O371" s="77"/>
    </row>
    <row r="372" spans="1:15">
      <c r="A372" s="296">
        <v>45719</v>
      </c>
      <c r="B372" s="215" t="s">
        <v>938</v>
      </c>
      <c r="C372" s="215" t="s">
        <v>939</v>
      </c>
      <c r="D372" s="215" t="s">
        <v>120</v>
      </c>
      <c r="E372" s="222">
        <v>65000</v>
      </c>
      <c r="F372" s="283">
        <f t="shared" si="13"/>
        <v>112.21387619529358</v>
      </c>
      <c r="G372" s="222">
        <v>579.25099999999998</v>
      </c>
      <c r="H372" s="215" t="s">
        <v>161</v>
      </c>
      <c r="I372" s="215" t="s">
        <v>1077</v>
      </c>
      <c r="J372" s="215" t="s">
        <v>100</v>
      </c>
      <c r="K372" s="215" t="s">
        <v>211</v>
      </c>
      <c r="L372" s="215" t="s">
        <v>159</v>
      </c>
      <c r="M372" s="285"/>
      <c r="N372" s="215"/>
      <c r="O372" s="77"/>
    </row>
    <row r="373" spans="1:15">
      <c r="A373" s="296">
        <v>45719</v>
      </c>
      <c r="B373" s="215" t="s">
        <v>943</v>
      </c>
      <c r="C373" s="215" t="s">
        <v>278</v>
      </c>
      <c r="D373" s="215" t="s">
        <v>208</v>
      </c>
      <c r="E373" s="222">
        <v>45000</v>
      </c>
      <c r="F373" s="283">
        <f t="shared" si="13"/>
        <v>77.686529673664793</v>
      </c>
      <c r="G373" s="222">
        <v>579.25099999999998</v>
      </c>
      <c r="H373" s="215" t="s">
        <v>161</v>
      </c>
      <c r="I373" s="215" t="s">
        <v>1125</v>
      </c>
      <c r="J373" s="215" t="s">
        <v>100</v>
      </c>
      <c r="K373" s="215" t="s">
        <v>211</v>
      </c>
      <c r="L373" s="215" t="s">
        <v>159</v>
      </c>
      <c r="M373" s="285"/>
      <c r="N373" s="215"/>
      <c r="O373" s="215"/>
    </row>
    <row r="374" spans="1:15">
      <c r="A374" s="296">
        <v>45719</v>
      </c>
      <c r="B374" s="215" t="s">
        <v>658</v>
      </c>
      <c r="C374" s="215" t="s">
        <v>130</v>
      </c>
      <c r="D374" s="215" t="s">
        <v>123</v>
      </c>
      <c r="E374" s="222">
        <v>30000</v>
      </c>
      <c r="F374" s="283">
        <f t="shared" si="13"/>
        <v>51.791019782443193</v>
      </c>
      <c r="G374" s="222">
        <v>579.25099999999998</v>
      </c>
      <c r="H374" s="215" t="s">
        <v>161</v>
      </c>
      <c r="I374" s="215" t="s">
        <v>1126</v>
      </c>
      <c r="J374" s="215" t="s">
        <v>100</v>
      </c>
      <c r="K374" s="215" t="s">
        <v>211</v>
      </c>
      <c r="L374" s="215" t="s">
        <v>159</v>
      </c>
      <c r="M374" s="285"/>
      <c r="N374" s="215"/>
      <c r="O374" s="77"/>
    </row>
    <row r="375" spans="1:15">
      <c r="A375" s="296">
        <v>45719</v>
      </c>
      <c r="B375" s="215" t="s">
        <v>648</v>
      </c>
      <c r="C375" s="215" t="s">
        <v>130</v>
      </c>
      <c r="D375" s="215" t="s">
        <v>121</v>
      </c>
      <c r="E375" s="222">
        <v>94430</v>
      </c>
      <c r="F375" s="283">
        <f t="shared" si="13"/>
        <v>163.02086660187035</v>
      </c>
      <c r="G375" s="222">
        <v>579.25099999999998</v>
      </c>
      <c r="H375" s="215" t="s">
        <v>161</v>
      </c>
      <c r="I375" s="215" t="s">
        <v>1127</v>
      </c>
      <c r="J375" s="215" t="s">
        <v>100</v>
      </c>
      <c r="K375" s="215" t="s">
        <v>211</v>
      </c>
      <c r="L375" s="215" t="s">
        <v>159</v>
      </c>
      <c r="M375" s="285"/>
      <c r="N375" s="215"/>
      <c r="O375" s="77"/>
    </row>
    <row r="376" spans="1:15">
      <c r="A376" s="296">
        <v>45719</v>
      </c>
      <c r="B376" s="215" t="s">
        <v>944</v>
      </c>
      <c r="C376" s="215" t="s">
        <v>278</v>
      </c>
      <c r="D376" s="215" t="s">
        <v>208</v>
      </c>
      <c r="E376" s="222">
        <v>20000</v>
      </c>
      <c r="F376" s="283">
        <f t="shared" si="13"/>
        <v>34.527346521628793</v>
      </c>
      <c r="G376" s="222">
        <v>579.25099999999998</v>
      </c>
      <c r="H376" s="215" t="s">
        <v>161</v>
      </c>
      <c r="I376" s="215" t="s">
        <v>1128</v>
      </c>
      <c r="J376" s="215" t="s">
        <v>100</v>
      </c>
      <c r="K376" s="215" t="s">
        <v>211</v>
      </c>
      <c r="L376" s="215" t="s">
        <v>159</v>
      </c>
      <c r="M376" s="285"/>
      <c r="N376" s="215"/>
      <c r="O376" s="77"/>
    </row>
    <row r="377" spans="1:15">
      <c r="A377" s="296">
        <v>45719</v>
      </c>
      <c r="B377" s="215" t="s">
        <v>946</v>
      </c>
      <c r="C377" s="215" t="s">
        <v>278</v>
      </c>
      <c r="D377" s="215" t="s">
        <v>208</v>
      </c>
      <c r="E377" s="222">
        <v>45000</v>
      </c>
      <c r="F377" s="283">
        <f t="shared" si="13"/>
        <v>77.686529673664793</v>
      </c>
      <c r="G377" s="222">
        <v>579.25099999999998</v>
      </c>
      <c r="H377" s="215" t="s">
        <v>161</v>
      </c>
      <c r="I377" s="215" t="s">
        <v>1130</v>
      </c>
      <c r="J377" s="215" t="s">
        <v>100</v>
      </c>
      <c r="K377" s="215" t="s">
        <v>211</v>
      </c>
      <c r="L377" s="215" t="s">
        <v>159</v>
      </c>
      <c r="M377" s="285"/>
      <c r="N377" s="215"/>
      <c r="O377" s="77"/>
    </row>
    <row r="378" spans="1:15">
      <c r="A378" s="296">
        <v>45719</v>
      </c>
      <c r="B378" s="215" t="s">
        <v>654</v>
      </c>
      <c r="C378" s="215" t="s">
        <v>130</v>
      </c>
      <c r="D378" s="215" t="s">
        <v>120</v>
      </c>
      <c r="E378" s="222">
        <v>30000</v>
      </c>
      <c r="F378" s="283">
        <f t="shared" si="13"/>
        <v>51.791019782443193</v>
      </c>
      <c r="G378" s="222">
        <v>579.25099999999998</v>
      </c>
      <c r="H378" s="215" t="s">
        <v>161</v>
      </c>
      <c r="I378" s="215" t="s">
        <v>1131</v>
      </c>
      <c r="J378" s="215" t="s">
        <v>100</v>
      </c>
      <c r="K378" s="215" t="s">
        <v>211</v>
      </c>
      <c r="L378" s="215" t="s">
        <v>159</v>
      </c>
      <c r="M378" s="285"/>
      <c r="N378" s="215"/>
      <c r="O378" s="215"/>
    </row>
    <row r="379" spans="1:15">
      <c r="A379" s="296">
        <v>45719</v>
      </c>
      <c r="B379" s="215" t="s">
        <v>656</v>
      </c>
      <c r="C379" s="215" t="s">
        <v>130</v>
      </c>
      <c r="D379" s="215" t="s">
        <v>120</v>
      </c>
      <c r="E379" s="222">
        <v>30000</v>
      </c>
      <c r="F379" s="283">
        <f t="shared" si="13"/>
        <v>51.791019782443193</v>
      </c>
      <c r="G379" s="222">
        <v>579.25099999999998</v>
      </c>
      <c r="H379" s="215" t="s">
        <v>161</v>
      </c>
      <c r="I379" s="215" t="s">
        <v>1132</v>
      </c>
      <c r="J379" s="215" t="s">
        <v>100</v>
      </c>
      <c r="K379" s="215" t="s">
        <v>211</v>
      </c>
      <c r="L379" s="215" t="s">
        <v>159</v>
      </c>
      <c r="M379" s="285"/>
      <c r="N379" s="215"/>
      <c r="O379" s="77"/>
    </row>
    <row r="380" spans="1:15">
      <c r="A380" s="296">
        <v>45719</v>
      </c>
      <c r="B380" s="215" t="s">
        <v>1518</v>
      </c>
      <c r="C380" s="215" t="s">
        <v>1538</v>
      </c>
      <c r="D380" s="215" t="s">
        <v>121</v>
      </c>
      <c r="E380" s="222">
        <v>25000</v>
      </c>
      <c r="F380" s="283">
        <f t="shared" si="13"/>
        <v>43.159183152035993</v>
      </c>
      <c r="G380" s="222">
        <v>579.25099999999998</v>
      </c>
      <c r="H380" s="215" t="s">
        <v>673</v>
      </c>
      <c r="I380" s="215" t="s">
        <v>1078</v>
      </c>
      <c r="J380" s="215" t="s">
        <v>100</v>
      </c>
      <c r="K380" s="215" t="s">
        <v>211</v>
      </c>
      <c r="L380" s="215" t="s">
        <v>159</v>
      </c>
      <c r="M380" s="285"/>
      <c r="N380" s="215"/>
      <c r="O380" s="77"/>
    </row>
    <row r="381" spans="1:15">
      <c r="A381" s="296">
        <v>45719</v>
      </c>
      <c r="B381" s="215" t="s">
        <v>945</v>
      </c>
      <c r="C381" s="215" t="s">
        <v>130</v>
      </c>
      <c r="D381" s="215" t="s">
        <v>121</v>
      </c>
      <c r="E381" s="222">
        <v>15000</v>
      </c>
      <c r="F381" s="283">
        <f t="shared" si="13"/>
        <v>25.895509891221597</v>
      </c>
      <c r="G381" s="222">
        <v>579.25099999999998</v>
      </c>
      <c r="H381" s="215" t="s">
        <v>673</v>
      </c>
      <c r="I381" s="215" t="s">
        <v>1129</v>
      </c>
      <c r="J381" s="215" t="s">
        <v>100</v>
      </c>
      <c r="K381" s="215" t="s">
        <v>211</v>
      </c>
      <c r="L381" s="215" t="s">
        <v>159</v>
      </c>
      <c r="M381" s="285"/>
      <c r="N381" s="215"/>
      <c r="O381" s="77"/>
    </row>
    <row r="382" spans="1:15">
      <c r="A382" s="296">
        <v>45719</v>
      </c>
      <c r="B382" s="292" t="s">
        <v>941</v>
      </c>
      <c r="C382" s="215" t="s">
        <v>1538</v>
      </c>
      <c r="D382" s="215" t="s">
        <v>121</v>
      </c>
      <c r="E382" s="222">
        <v>62500</v>
      </c>
      <c r="F382" s="283">
        <f t="shared" si="13"/>
        <v>107.89795788008998</v>
      </c>
      <c r="G382" s="222">
        <v>579.25099999999998</v>
      </c>
      <c r="H382" s="215" t="s">
        <v>198</v>
      </c>
      <c r="I382" s="215" t="s">
        <v>1079</v>
      </c>
      <c r="J382" s="215" t="s">
        <v>100</v>
      </c>
      <c r="K382" s="215" t="s">
        <v>211</v>
      </c>
      <c r="L382" s="215" t="s">
        <v>159</v>
      </c>
      <c r="M382" s="284"/>
      <c r="N382" s="77"/>
      <c r="O382" s="77"/>
    </row>
    <row r="383" spans="1:15">
      <c r="A383" s="296">
        <v>45719</v>
      </c>
      <c r="B383" s="215" t="s">
        <v>574</v>
      </c>
      <c r="C383" s="215" t="s">
        <v>129</v>
      </c>
      <c r="D383" s="215" t="s">
        <v>121</v>
      </c>
      <c r="E383" s="222">
        <v>500000</v>
      </c>
      <c r="F383" s="283">
        <f t="shared" si="13"/>
        <v>863.18366304071981</v>
      </c>
      <c r="G383" s="222">
        <v>579.25099999999998</v>
      </c>
      <c r="H383" s="215" t="s">
        <v>151</v>
      </c>
      <c r="I383" s="215" t="s">
        <v>1194</v>
      </c>
      <c r="J383" s="215" t="s">
        <v>100</v>
      </c>
      <c r="K383" s="215" t="s">
        <v>211</v>
      </c>
      <c r="L383" s="215" t="s">
        <v>159</v>
      </c>
      <c r="M383" s="284"/>
      <c r="N383" s="77"/>
      <c r="O383" s="77"/>
    </row>
    <row r="384" spans="1:15">
      <c r="A384" s="296">
        <v>45719</v>
      </c>
      <c r="B384" s="215" t="s">
        <v>1141</v>
      </c>
      <c r="C384" s="215" t="s">
        <v>130</v>
      </c>
      <c r="D384" s="215" t="s">
        <v>120</v>
      </c>
      <c r="E384" s="222">
        <v>200000</v>
      </c>
      <c r="F384" s="283">
        <f t="shared" si="13"/>
        <v>345.27346521628795</v>
      </c>
      <c r="G384" s="222">
        <v>579.25099999999998</v>
      </c>
      <c r="H384" s="215" t="s">
        <v>151</v>
      </c>
      <c r="I384" s="215" t="s">
        <v>1195</v>
      </c>
      <c r="J384" s="215" t="s">
        <v>100</v>
      </c>
      <c r="K384" s="215" t="s">
        <v>211</v>
      </c>
      <c r="L384" s="215" t="s">
        <v>159</v>
      </c>
      <c r="M384" s="284"/>
      <c r="N384" s="77"/>
      <c r="O384" s="77"/>
    </row>
    <row r="385" spans="1:15">
      <c r="A385" s="296">
        <v>45719</v>
      </c>
      <c r="B385" s="215" t="s">
        <v>1142</v>
      </c>
      <c r="C385" s="215" t="s">
        <v>130</v>
      </c>
      <c r="D385" s="215" t="s">
        <v>120</v>
      </c>
      <c r="E385" s="222">
        <v>200000</v>
      </c>
      <c r="F385" s="283">
        <f t="shared" si="13"/>
        <v>345.27346521628795</v>
      </c>
      <c r="G385" s="222">
        <v>579.25099999999998</v>
      </c>
      <c r="H385" s="215" t="s">
        <v>151</v>
      </c>
      <c r="I385" s="215" t="s">
        <v>1196</v>
      </c>
      <c r="J385" s="215" t="s">
        <v>100</v>
      </c>
      <c r="K385" s="215" t="s">
        <v>211</v>
      </c>
      <c r="L385" s="215" t="s">
        <v>159</v>
      </c>
      <c r="M385" s="284"/>
      <c r="N385" s="77"/>
      <c r="O385" s="77"/>
    </row>
    <row r="386" spans="1:15">
      <c r="A386" s="296">
        <v>45719</v>
      </c>
      <c r="B386" s="215" t="s">
        <v>1143</v>
      </c>
      <c r="C386" s="215" t="s">
        <v>130</v>
      </c>
      <c r="D386" s="215" t="s">
        <v>120</v>
      </c>
      <c r="E386" s="222">
        <v>200000</v>
      </c>
      <c r="F386" s="283">
        <f t="shared" si="13"/>
        <v>345.27346521628795</v>
      </c>
      <c r="G386" s="222">
        <v>579.25099999999998</v>
      </c>
      <c r="H386" s="215" t="s">
        <v>151</v>
      </c>
      <c r="I386" s="215" t="s">
        <v>1197</v>
      </c>
      <c r="J386" s="215" t="s">
        <v>100</v>
      </c>
      <c r="K386" s="215" t="s">
        <v>211</v>
      </c>
      <c r="L386" s="215" t="s">
        <v>159</v>
      </c>
      <c r="M386" s="284"/>
      <c r="N386" s="77"/>
      <c r="O386" s="77"/>
    </row>
    <row r="387" spans="1:15">
      <c r="A387" s="296">
        <v>45719</v>
      </c>
      <c r="B387" s="215" t="s">
        <v>1144</v>
      </c>
      <c r="C387" s="215" t="s">
        <v>130</v>
      </c>
      <c r="D387" s="215" t="s">
        <v>120</v>
      </c>
      <c r="E387" s="222">
        <v>551482</v>
      </c>
      <c r="F387" s="283">
        <f t="shared" si="13"/>
        <v>952.06050572204458</v>
      </c>
      <c r="G387" s="222">
        <v>579.25099999999998</v>
      </c>
      <c r="H387" s="215" t="s">
        <v>151</v>
      </c>
      <c r="I387" s="215" t="s">
        <v>1198</v>
      </c>
      <c r="J387" s="215" t="s">
        <v>100</v>
      </c>
      <c r="K387" s="215" t="s">
        <v>211</v>
      </c>
      <c r="L387" s="215" t="s">
        <v>159</v>
      </c>
      <c r="M387" s="284"/>
      <c r="N387" s="77"/>
      <c r="O387" s="77"/>
    </row>
    <row r="388" spans="1:15">
      <c r="A388" s="296">
        <v>45719</v>
      </c>
      <c r="B388" s="215" t="s">
        <v>1145</v>
      </c>
      <c r="C388" s="215" t="s">
        <v>130</v>
      </c>
      <c r="D388" s="215" t="s">
        <v>121</v>
      </c>
      <c r="E388" s="222">
        <v>384789</v>
      </c>
      <c r="F388" s="283">
        <f t="shared" si="13"/>
        <v>664.2871570355511</v>
      </c>
      <c r="G388" s="222">
        <v>579.25099999999998</v>
      </c>
      <c r="H388" s="215" t="s">
        <v>151</v>
      </c>
      <c r="I388" s="215" t="s">
        <v>1199</v>
      </c>
      <c r="J388" s="215" t="s">
        <v>100</v>
      </c>
      <c r="K388" s="215" t="s">
        <v>211</v>
      </c>
      <c r="L388" s="215" t="s">
        <v>159</v>
      </c>
      <c r="M388" s="284"/>
      <c r="N388" s="77"/>
      <c r="O388" s="77"/>
    </row>
    <row r="389" spans="1:15">
      <c r="A389" s="296">
        <v>45719</v>
      </c>
      <c r="B389" s="215" t="s">
        <v>1146</v>
      </c>
      <c r="C389" s="215" t="s">
        <v>130</v>
      </c>
      <c r="D389" s="215" t="s">
        <v>123</v>
      </c>
      <c r="E389" s="222">
        <v>238140</v>
      </c>
      <c r="F389" s="283">
        <f t="shared" si="13"/>
        <v>411.11711503303405</v>
      </c>
      <c r="G389" s="222">
        <v>579.25099999999998</v>
      </c>
      <c r="H389" s="215" t="s">
        <v>151</v>
      </c>
      <c r="I389" s="215" t="s">
        <v>1200</v>
      </c>
      <c r="J389" s="215" t="s">
        <v>100</v>
      </c>
      <c r="K389" s="215" t="s">
        <v>211</v>
      </c>
      <c r="L389" s="215" t="s">
        <v>159</v>
      </c>
      <c r="M389" s="284"/>
      <c r="N389" s="77"/>
      <c r="O389" s="77"/>
    </row>
    <row r="390" spans="1:15">
      <c r="A390" s="296">
        <v>45719</v>
      </c>
      <c r="B390" s="215" t="s">
        <v>1147</v>
      </c>
      <c r="C390" s="215" t="s">
        <v>130</v>
      </c>
      <c r="D390" s="215" t="s">
        <v>124</v>
      </c>
      <c r="E390" s="222">
        <v>405000</v>
      </c>
      <c r="F390" s="283">
        <f t="shared" si="13"/>
        <v>699.17876706298307</v>
      </c>
      <c r="G390" s="222">
        <v>579.25099999999998</v>
      </c>
      <c r="H390" s="215" t="s">
        <v>151</v>
      </c>
      <c r="I390" s="215" t="s">
        <v>1201</v>
      </c>
      <c r="J390" s="215" t="s">
        <v>100</v>
      </c>
      <c r="K390" s="215" t="s">
        <v>211</v>
      </c>
      <c r="L390" s="215" t="s">
        <v>159</v>
      </c>
      <c r="M390" s="284"/>
      <c r="N390" s="77"/>
      <c r="O390" s="77"/>
    </row>
    <row r="391" spans="1:15">
      <c r="A391" s="296">
        <v>45719</v>
      </c>
      <c r="B391" s="215" t="s">
        <v>1148</v>
      </c>
      <c r="C391" s="215" t="s">
        <v>130</v>
      </c>
      <c r="D391" s="215" t="s">
        <v>124</v>
      </c>
      <c r="E391" s="222">
        <v>460000</v>
      </c>
      <c r="F391" s="283">
        <f t="shared" si="13"/>
        <v>794.12896999746226</v>
      </c>
      <c r="G391" s="222">
        <v>579.25099999999998</v>
      </c>
      <c r="H391" s="215" t="s">
        <v>151</v>
      </c>
      <c r="I391" s="215" t="s">
        <v>1202</v>
      </c>
      <c r="J391" s="215" t="s">
        <v>100</v>
      </c>
      <c r="K391" s="215" t="s">
        <v>211</v>
      </c>
      <c r="L391" s="215" t="s">
        <v>159</v>
      </c>
      <c r="M391" s="284"/>
      <c r="N391" s="77"/>
      <c r="O391" s="77"/>
    </row>
    <row r="392" spans="1:15">
      <c r="A392" s="296">
        <v>45719</v>
      </c>
      <c r="B392" s="215" t="s">
        <v>1149</v>
      </c>
      <c r="C392" s="215" t="s">
        <v>130</v>
      </c>
      <c r="D392" s="215" t="s">
        <v>124</v>
      </c>
      <c r="E392" s="222">
        <v>255000</v>
      </c>
      <c r="F392" s="283">
        <f t="shared" si="13"/>
        <v>440.22366815076714</v>
      </c>
      <c r="G392" s="222">
        <v>579.25099999999998</v>
      </c>
      <c r="H392" s="215" t="s">
        <v>151</v>
      </c>
      <c r="I392" s="215" t="s">
        <v>1203</v>
      </c>
      <c r="J392" s="215" t="s">
        <v>100</v>
      </c>
      <c r="K392" s="215" t="s">
        <v>211</v>
      </c>
      <c r="L392" s="215" t="s">
        <v>159</v>
      </c>
      <c r="M392" s="284"/>
      <c r="N392" s="77"/>
      <c r="O392" s="77"/>
    </row>
    <row r="393" spans="1:15">
      <c r="A393" s="296">
        <v>45719</v>
      </c>
      <c r="B393" s="215" t="s">
        <v>1150</v>
      </c>
      <c r="C393" s="215" t="s">
        <v>130</v>
      </c>
      <c r="D393" s="215" t="s">
        <v>124</v>
      </c>
      <c r="E393" s="222">
        <v>255000</v>
      </c>
      <c r="F393" s="283">
        <f t="shared" si="13"/>
        <v>440.22366815076714</v>
      </c>
      <c r="G393" s="222">
        <v>579.25099999999998</v>
      </c>
      <c r="H393" s="215" t="s">
        <v>151</v>
      </c>
      <c r="I393" s="215" t="s">
        <v>1204</v>
      </c>
      <c r="J393" s="215" t="s">
        <v>100</v>
      </c>
      <c r="K393" s="215" t="s">
        <v>211</v>
      </c>
      <c r="L393" s="215" t="s">
        <v>159</v>
      </c>
      <c r="M393" s="284"/>
      <c r="N393" s="77"/>
      <c r="O393" s="77"/>
    </row>
    <row r="394" spans="1:15">
      <c r="A394" s="296">
        <v>45719</v>
      </c>
      <c r="B394" s="215" t="s">
        <v>1151</v>
      </c>
      <c r="C394" s="215" t="s">
        <v>324</v>
      </c>
      <c r="D394" s="215" t="s">
        <v>121</v>
      </c>
      <c r="E394" s="222">
        <v>260000</v>
      </c>
      <c r="F394" s="283">
        <f t="shared" si="13"/>
        <v>448.85550478117432</v>
      </c>
      <c r="G394" s="222">
        <v>579.25099999999998</v>
      </c>
      <c r="H394" s="215" t="s">
        <v>151</v>
      </c>
      <c r="I394" s="215" t="s">
        <v>1205</v>
      </c>
      <c r="J394" s="215" t="s">
        <v>100</v>
      </c>
      <c r="K394" s="215" t="s">
        <v>211</v>
      </c>
      <c r="L394" s="215" t="s">
        <v>159</v>
      </c>
      <c r="M394" s="284"/>
      <c r="N394" s="77"/>
      <c r="O394" s="77"/>
    </row>
    <row r="395" spans="1:15">
      <c r="A395" s="296">
        <v>45719</v>
      </c>
      <c r="B395" s="215" t="s">
        <v>1152</v>
      </c>
      <c r="C395" s="215" t="s">
        <v>131</v>
      </c>
      <c r="D395" s="215" t="s">
        <v>121</v>
      </c>
      <c r="E395" s="222">
        <v>10665</v>
      </c>
      <c r="F395" s="283">
        <f t="shared" si="13"/>
        <v>18.411707532658554</v>
      </c>
      <c r="G395" s="222">
        <v>579.25099999999998</v>
      </c>
      <c r="H395" s="215" t="s">
        <v>151</v>
      </c>
      <c r="I395" s="215" t="s">
        <v>1206</v>
      </c>
      <c r="J395" s="215" t="s">
        <v>100</v>
      </c>
      <c r="K395" s="215" t="s">
        <v>211</v>
      </c>
      <c r="L395" s="215" t="s">
        <v>159</v>
      </c>
      <c r="M395" s="284"/>
      <c r="N395" s="77"/>
      <c r="O395" s="77"/>
    </row>
    <row r="396" spans="1:15">
      <c r="A396" s="296">
        <v>45719</v>
      </c>
      <c r="B396" s="215" t="s">
        <v>1153</v>
      </c>
      <c r="C396" s="215" t="s">
        <v>126</v>
      </c>
      <c r="D396" s="215" t="s">
        <v>120</v>
      </c>
      <c r="E396" s="222">
        <v>300000</v>
      </c>
      <c r="F396" s="283">
        <f t="shared" si="13"/>
        <v>517.91019782443186</v>
      </c>
      <c r="G396" s="222">
        <v>579.25099999999998</v>
      </c>
      <c r="H396" s="215" t="s">
        <v>151</v>
      </c>
      <c r="I396" s="215" t="s">
        <v>1207</v>
      </c>
      <c r="J396" s="215" t="s">
        <v>100</v>
      </c>
      <c r="K396" s="215" t="s">
        <v>211</v>
      </c>
      <c r="L396" s="215" t="s">
        <v>159</v>
      </c>
      <c r="M396" s="284"/>
      <c r="N396" s="77"/>
      <c r="O396" s="77"/>
    </row>
    <row r="397" spans="1:15">
      <c r="A397" s="300">
        <v>45720</v>
      </c>
      <c r="B397" s="215" t="s">
        <v>1519</v>
      </c>
      <c r="C397" s="215" t="s">
        <v>414</v>
      </c>
      <c r="D397" s="215" t="s">
        <v>124</v>
      </c>
      <c r="E397" s="222">
        <v>30000</v>
      </c>
      <c r="F397" s="283">
        <f t="shared" si="13"/>
        <v>51.791019782443193</v>
      </c>
      <c r="G397" s="222">
        <v>579.25099999999998</v>
      </c>
      <c r="H397" s="215" t="s">
        <v>156</v>
      </c>
      <c r="I397" s="215" t="s">
        <v>1081</v>
      </c>
      <c r="J397" s="215" t="s">
        <v>100</v>
      </c>
      <c r="K397" s="215" t="s">
        <v>211</v>
      </c>
      <c r="L397" s="215" t="s">
        <v>159</v>
      </c>
      <c r="M397" s="285"/>
      <c r="N397" s="215"/>
      <c r="O397" s="77"/>
    </row>
    <row r="398" spans="1:15">
      <c r="A398" s="296">
        <v>45720</v>
      </c>
      <c r="B398" s="215" t="s">
        <v>1246</v>
      </c>
      <c r="C398" s="215" t="s">
        <v>179</v>
      </c>
      <c r="D398" s="215" t="s">
        <v>121</v>
      </c>
      <c r="E398" s="222">
        <v>9900</v>
      </c>
      <c r="F398" s="283">
        <f t="shared" si="13"/>
        <v>17.091036528206253</v>
      </c>
      <c r="G398" s="222">
        <v>579.25099999999998</v>
      </c>
      <c r="H398" s="215" t="s">
        <v>161</v>
      </c>
      <c r="I398" s="215" t="s">
        <v>1480</v>
      </c>
      <c r="J398" s="215" t="s">
        <v>100</v>
      </c>
      <c r="K398" s="215" t="s">
        <v>211</v>
      </c>
      <c r="L398" s="215" t="s">
        <v>159</v>
      </c>
      <c r="M398" s="285"/>
      <c r="N398" s="215"/>
      <c r="O398" s="77"/>
    </row>
    <row r="399" spans="1:15">
      <c r="A399" s="296">
        <v>45720</v>
      </c>
      <c r="B399" s="215" t="s">
        <v>949</v>
      </c>
      <c r="C399" s="215" t="s">
        <v>130</v>
      </c>
      <c r="D399" s="215" t="s">
        <v>121</v>
      </c>
      <c r="E399" s="222">
        <v>131428</v>
      </c>
      <c r="F399" s="283">
        <f t="shared" si="13"/>
        <v>226.89300493223146</v>
      </c>
      <c r="G399" s="222">
        <v>579.25099999999998</v>
      </c>
      <c r="H399" s="215" t="s">
        <v>161</v>
      </c>
      <c r="I399" s="215" t="s">
        <v>1080</v>
      </c>
      <c r="J399" s="215" t="s">
        <v>100</v>
      </c>
      <c r="K399" s="215" t="s">
        <v>211</v>
      </c>
      <c r="L399" s="215" t="s">
        <v>159</v>
      </c>
      <c r="M399" s="285"/>
      <c r="N399" s="215"/>
      <c r="O399" s="77"/>
    </row>
    <row r="400" spans="1:15">
      <c r="A400" s="296">
        <v>45720</v>
      </c>
      <c r="B400" s="215" t="s">
        <v>954</v>
      </c>
      <c r="C400" s="215" t="s">
        <v>179</v>
      </c>
      <c r="D400" s="215" t="s">
        <v>120</v>
      </c>
      <c r="E400" s="222">
        <v>20000</v>
      </c>
      <c r="F400" s="283">
        <f t="shared" si="13"/>
        <v>34.527346521628793</v>
      </c>
      <c r="G400" s="222">
        <v>579.25099999999998</v>
      </c>
      <c r="H400" s="215" t="s">
        <v>161</v>
      </c>
      <c r="I400" s="215" t="s">
        <v>1085</v>
      </c>
      <c r="J400" s="215" t="s">
        <v>100</v>
      </c>
      <c r="K400" s="215" t="s">
        <v>211</v>
      </c>
      <c r="L400" s="215" t="s">
        <v>159</v>
      </c>
      <c r="M400" s="285"/>
      <c r="N400" s="215"/>
      <c r="O400" s="77"/>
    </row>
    <row r="401" spans="1:15">
      <c r="A401" s="296">
        <v>45720</v>
      </c>
      <c r="B401" s="215" t="s">
        <v>955</v>
      </c>
      <c r="C401" s="215" t="s">
        <v>184</v>
      </c>
      <c r="D401" s="215" t="s">
        <v>120</v>
      </c>
      <c r="E401" s="222">
        <v>50000</v>
      </c>
      <c r="F401" s="283">
        <f t="shared" si="13"/>
        <v>86.318366304071986</v>
      </c>
      <c r="G401" s="222">
        <v>579.25099999999998</v>
      </c>
      <c r="H401" s="215" t="s">
        <v>161</v>
      </c>
      <c r="I401" s="215" t="s">
        <v>1086</v>
      </c>
      <c r="J401" s="215" t="s">
        <v>100</v>
      </c>
      <c r="K401" s="215" t="s">
        <v>211</v>
      </c>
      <c r="L401" s="215" t="s">
        <v>159</v>
      </c>
      <c r="M401" s="285"/>
      <c r="N401" s="215"/>
      <c r="O401" s="77"/>
    </row>
    <row r="402" spans="1:15">
      <c r="A402" s="296">
        <v>45720</v>
      </c>
      <c r="B402" s="215" t="s">
        <v>650</v>
      </c>
      <c r="C402" s="215" t="s">
        <v>130</v>
      </c>
      <c r="D402" s="215" t="s">
        <v>120</v>
      </c>
      <c r="E402" s="222">
        <v>30000</v>
      </c>
      <c r="F402" s="283">
        <f t="shared" si="13"/>
        <v>51.791019782443193</v>
      </c>
      <c r="G402" s="222">
        <v>579.25099999999998</v>
      </c>
      <c r="H402" s="215" t="s">
        <v>161</v>
      </c>
      <c r="I402" s="215" t="s">
        <v>1134</v>
      </c>
      <c r="J402" s="215" t="s">
        <v>100</v>
      </c>
      <c r="K402" s="215" t="s">
        <v>211</v>
      </c>
      <c r="L402" s="215" t="s">
        <v>159</v>
      </c>
      <c r="M402" s="285"/>
      <c r="N402" s="215"/>
      <c r="O402" s="77"/>
    </row>
    <row r="403" spans="1:15">
      <c r="A403" s="296">
        <v>45720</v>
      </c>
      <c r="B403" s="215" t="s">
        <v>956</v>
      </c>
      <c r="C403" s="215" t="s">
        <v>278</v>
      </c>
      <c r="D403" s="215" t="s">
        <v>208</v>
      </c>
      <c r="E403" s="222">
        <v>50000</v>
      </c>
      <c r="F403" s="283">
        <f t="shared" si="13"/>
        <v>86.318366304071986</v>
      </c>
      <c r="G403" s="222">
        <v>579.25099999999998</v>
      </c>
      <c r="H403" s="215" t="s">
        <v>161</v>
      </c>
      <c r="I403" s="215" t="s">
        <v>1135</v>
      </c>
      <c r="J403" s="215" t="s">
        <v>100</v>
      </c>
      <c r="K403" s="215" t="s">
        <v>211</v>
      </c>
      <c r="L403" s="215" t="s">
        <v>159</v>
      </c>
      <c r="M403" s="285"/>
      <c r="N403" s="215"/>
      <c r="O403" s="77"/>
    </row>
    <row r="404" spans="1:15">
      <c r="A404" s="296">
        <v>45720</v>
      </c>
      <c r="B404" s="215" t="s">
        <v>951</v>
      </c>
      <c r="C404" s="215" t="s">
        <v>1539</v>
      </c>
      <c r="D404" s="215" t="s">
        <v>121</v>
      </c>
      <c r="E404" s="222">
        <v>8700</v>
      </c>
      <c r="F404" s="283">
        <f t="shared" si="13"/>
        <v>15.019395736908526</v>
      </c>
      <c r="G404" s="222">
        <v>579.25099999999998</v>
      </c>
      <c r="H404" s="215" t="s">
        <v>673</v>
      </c>
      <c r="I404" s="215" t="s">
        <v>1083</v>
      </c>
      <c r="J404" s="215" t="s">
        <v>100</v>
      </c>
      <c r="K404" s="215" t="s">
        <v>211</v>
      </c>
      <c r="L404" s="215" t="s">
        <v>159</v>
      </c>
      <c r="M404" s="285"/>
      <c r="N404" s="215"/>
      <c r="O404" s="77"/>
    </row>
    <row r="405" spans="1:15">
      <c r="A405" s="296">
        <v>45720</v>
      </c>
      <c r="B405" s="215" t="s">
        <v>952</v>
      </c>
      <c r="C405" s="215" t="s">
        <v>184</v>
      </c>
      <c r="D405" s="215" t="s">
        <v>120</v>
      </c>
      <c r="E405" s="222">
        <v>100000</v>
      </c>
      <c r="F405" s="283">
        <f t="shared" si="13"/>
        <v>172.63673260814397</v>
      </c>
      <c r="G405" s="222">
        <v>579.25099999999998</v>
      </c>
      <c r="H405" s="215" t="s">
        <v>673</v>
      </c>
      <c r="I405" s="215" t="s">
        <v>1084</v>
      </c>
      <c r="J405" s="215" t="s">
        <v>100</v>
      </c>
      <c r="K405" s="215" t="s">
        <v>211</v>
      </c>
      <c r="L405" s="215" t="s">
        <v>159</v>
      </c>
      <c r="M405" s="285"/>
      <c r="N405" s="215"/>
      <c r="O405" s="77"/>
    </row>
    <row r="406" spans="1:15">
      <c r="A406" s="296">
        <v>45720</v>
      </c>
      <c r="B406" s="215" t="s">
        <v>1273</v>
      </c>
      <c r="C406" s="215" t="s">
        <v>130</v>
      </c>
      <c r="D406" s="215" t="s">
        <v>1274</v>
      </c>
      <c r="E406" s="222">
        <v>65000</v>
      </c>
      <c r="F406" s="283">
        <f t="shared" si="13"/>
        <v>112.21387619529358</v>
      </c>
      <c r="G406" s="222">
        <v>579.25099999999998</v>
      </c>
      <c r="H406" s="215" t="s">
        <v>181</v>
      </c>
      <c r="I406" s="215" t="s">
        <v>1275</v>
      </c>
      <c r="J406" s="215" t="s">
        <v>100</v>
      </c>
      <c r="K406" s="215" t="s">
        <v>211</v>
      </c>
      <c r="L406" s="215" t="s">
        <v>159</v>
      </c>
      <c r="M406" s="284"/>
      <c r="N406" s="77"/>
      <c r="O406" s="77"/>
    </row>
    <row r="407" spans="1:15">
      <c r="A407" s="296">
        <v>45720</v>
      </c>
      <c r="B407" s="215" t="s">
        <v>1520</v>
      </c>
      <c r="C407" s="215" t="s">
        <v>184</v>
      </c>
      <c r="D407" s="215" t="s">
        <v>524</v>
      </c>
      <c r="E407" s="222">
        <v>40000</v>
      </c>
      <c r="F407" s="283">
        <f t="shared" si="13"/>
        <v>69.054693043257586</v>
      </c>
      <c r="G407" s="222">
        <v>579.25099999999998</v>
      </c>
      <c r="H407" s="215" t="s">
        <v>195</v>
      </c>
      <c r="I407" s="215" t="s">
        <v>1351</v>
      </c>
      <c r="J407" s="215" t="s">
        <v>100</v>
      </c>
      <c r="K407" s="215" t="s">
        <v>211</v>
      </c>
      <c r="L407" s="215" t="s">
        <v>159</v>
      </c>
      <c r="M407" s="284"/>
      <c r="N407" s="77"/>
      <c r="O407" s="77"/>
    </row>
    <row r="408" spans="1:15">
      <c r="A408" s="296">
        <v>45720</v>
      </c>
      <c r="B408" s="215" t="s">
        <v>950</v>
      </c>
      <c r="C408" s="215" t="s">
        <v>1539</v>
      </c>
      <c r="D408" s="215" t="s">
        <v>121</v>
      </c>
      <c r="E408" s="297">
        <v>1952</v>
      </c>
      <c r="F408" s="283">
        <f t="shared" si="13"/>
        <v>3.3698690205109703</v>
      </c>
      <c r="G408" s="222">
        <v>579.25099999999998</v>
      </c>
      <c r="H408" s="215" t="s">
        <v>201</v>
      </c>
      <c r="I408" s="215" t="s">
        <v>1082</v>
      </c>
      <c r="J408" s="215" t="s">
        <v>100</v>
      </c>
      <c r="K408" s="215" t="s">
        <v>211</v>
      </c>
      <c r="L408" s="215" t="s">
        <v>159</v>
      </c>
      <c r="M408" s="284"/>
      <c r="N408" s="77"/>
      <c r="O408" s="77"/>
    </row>
    <row r="409" spans="1:15">
      <c r="A409" s="296">
        <v>45720</v>
      </c>
      <c r="B409" s="215" t="s">
        <v>948</v>
      </c>
      <c r="C409" s="215" t="s">
        <v>337</v>
      </c>
      <c r="D409" s="215" t="s">
        <v>123</v>
      </c>
      <c r="E409" s="222">
        <v>148000</v>
      </c>
      <c r="F409" s="283">
        <f t="shared" si="13"/>
        <v>255.50236426005307</v>
      </c>
      <c r="G409" s="222">
        <v>579.25099999999998</v>
      </c>
      <c r="H409" s="215" t="s">
        <v>223</v>
      </c>
      <c r="I409" s="215" t="s">
        <v>1133</v>
      </c>
      <c r="J409" s="215" t="s">
        <v>100</v>
      </c>
      <c r="K409" s="215" t="s">
        <v>211</v>
      </c>
      <c r="L409" s="215" t="s">
        <v>159</v>
      </c>
      <c r="M409" s="284"/>
      <c r="N409" s="77"/>
      <c r="O409" s="77"/>
    </row>
    <row r="410" spans="1:15">
      <c r="A410" s="296">
        <v>45721</v>
      </c>
      <c r="B410" s="215" t="s">
        <v>1456</v>
      </c>
      <c r="C410" s="215" t="s">
        <v>184</v>
      </c>
      <c r="D410" s="215" t="s">
        <v>524</v>
      </c>
      <c r="E410" s="222">
        <v>30000</v>
      </c>
      <c r="F410" s="283">
        <f t="shared" si="13"/>
        <v>51.791019782443193</v>
      </c>
      <c r="G410" s="222">
        <v>579.25099999999998</v>
      </c>
      <c r="H410" s="215" t="s">
        <v>209</v>
      </c>
      <c r="I410" s="215" t="s">
        <v>1457</v>
      </c>
      <c r="J410" s="215" t="s">
        <v>100</v>
      </c>
      <c r="K410" s="215" t="s">
        <v>211</v>
      </c>
      <c r="L410" s="215" t="s">
        <v>159</v>
      </c>
      <c r="M410" s="285"/>
      <c r="N410" s="215"/>
      <c r="O410" s="215"/>
    </row>
    <row r="411" spans="1:15">
      <c r="A411" s="296">
        <v>45722</v>
      </c>
      <c r="B411" s="215" t="s">
        <v>1521</v>
      </c>
      <c r="C411" s="215" t="s">
        <v>130</v>
      </c>
      <c r="D411" s="215" t="s">
        <v>122</v>
      </c>
      <c r="E411" s="222">
        <v>174625</v>
      </c>
      <c r="F411" s="283">
        <f t="shared" si="13"/>
        <v>301.46689431697143</v>
      </c>
      <c r="G411" s="222">
        <v>579.25099999999998</v>
      </c>
      <c r="H411" s="215" t="s">
        <v>156</v>
      </c>
      <c r="I411" s="215" t="s">
        <v>1235</v>
      </c>
      <c r="J411" s="215" t="s">
        <v>100</v>
      </c>
      <c r="K411" s="215" t="s">
        <v>211</v>
      </c>
      <c r="L411" s="215" t="s">
        <v>159</v>
      </c>
      <c r="M411" s="285"/>
      <c r="N411" s="215"/>
      <c r="O411" s="77"/>
    </row>
    <row r="412" spans="1:15">
      <c r="A412" s="296">
        <v>45722</v>
      </c>
      <c r="B412" s="215" t="s">
        <v>674</v>
      </c>
      <c r="C412" s="215" t="s">
        <v>414</v>
      </c>
      <c r="D412" s="215" t="s">
        <v>124</v>
      </c>
      <c r="E412" s="222">
        <v>30000</v>
      </c>
      <c r="F412" s="283">
        <f t="shared" si="13"/>
        <v>51.791019782443193</v>
      </c>
      <c r="G412" s="222">
        <v>579.25099999999998</v>
      </c>
      <c r="H412" s="215" t="s">
        <v>156</v>
      </c>
      <c r="I412" s="215" t="s">
        <v>1087</v>
      </c>
      <c r="J412" s="215" t="s">
        <v>100</v>
      </c>
      <c r="K412" s="215" t="s">
        <v>211</v>
      </c>
      <c r="L412" s="215" t="s">
        <v>159</v>
      </c>
      <c r="M412" s="285"/>
      <c r="N412" s="215"/>
      <c r="O412" s="77"/>
    </row>
    <row r="413" spans="1:15">
      <c r="A413" s="296">
        <v>45722</v>
      </c>
      <c r="B413" s="215" t="s">
        <v>1553</v>
      </c>
      <c r="C413" s="215" t="s">
        <v>179</v>
      </c>
      <c r="D413" s="215" t="s">
        <v>124</v>
      </c>
      <c r="E413" s="222">
        <v>7000</v>
      </c>
      <c r="F413" s="283">
        <f t="shared" si="13"/>
        <v>12.084571282570078</v>
      </c>
      <c r="G413" s="222">
        <v>579.25099999999998</v>
      </c>
      <c r="H413" s="215" t="s">
        <v>351</v>
      </c>
      <c r="I413" s="215" t="s">
        <v>1332</v>
      </c>
      <c r="J413" s="215" t="s">
        <v>100</v>
      </c>
      <c r="K413" s="215" t="s">
        <v>211</v>
      </c>
      <c r="L413" s="215" t="s">
        <v>159</v>
      </c>
      <c r="M413" s="284"/>
      <c r="N413" s="77"/>
      <c r="O413" s="77"/>
    </row>
    <row r="414" spans="1:15">
      <c r="A414" s="296">
        <v>45722</v>
      </c>
      <c r="B414" s="215" t="s">
        <v>957</v>
      </c>
      <c r="C414" s="215" t="s">
        <v>1539</v>
      </c>
      <c r="D414" s="215" t="s">
        <v>121</v>
      </c>
      <c r="E414" s="222">
        <v>1952</v>
      </c>
      <c r="F414" s="283">
        <f t="shared" si="13"/>
        <v>3.3698690205109703</v>
      </c>
      <c r="G414" s="222">
        <v>579.25099999999998</v>
      </c>
      <c r="H414" s="215" t="s">
        <v>201</v>
      </c>
      <c r="I414" s="215" t="s">
        <v>1088</v>
      </c>
      <c r="J414" s="215" t="s">
        <v>100</v>
      </c>
      <c r="K414" s="215" t="s">
        <v>211</v>
      </c>
      <c r="L414" s="215" t="s">
        <v>159</v>
      </c>
      <c r="M414" s="284"/>
      <c r="N414" s="77"/>
      <c r="O414" s="77"/>
    </row>
    <row r="415" spans="1:15">
      <c r="A415" s="296">
        <v>45723</v>
      </c>
      <c r="B415" s="215" t="s">
        <v>1517</v>
      </c>
      <c r="C415" s="215" t="s">
        <v>324</v>
      </c>
      <c r="D415" s="215" t="s">
        <v>121</v>
      </c>
      <c r="E415" s="222">
        <v>20000</v>
      </c>
      <c r="F415" s="283">
        <f t="shared" si="13"/>
        <v>34.527346521628793</v>
      </c>
      <c r="G415" s="222">
        <v>579.25099999999998</v>
      </c>
      <c r="H415" s="215" t="s">
        <v>156</v>
      </c>
      <c r="I415" s="215" t="s">
        <v>1089</v>
      </c>
      <c r="J415" s="215" t="s">
        <v>100</v>
      </c>
      <c r="K415" s="215" t="s">
        <v>211</v>
      </c>
      <c r="L415" s="215" t="s">
        <v>159</v>
      </c>
      <c r="M415" s="285"/>
      <c r="N415" s="215"/>
      <c r="O415" s="77"/>
    </row>
    <row r="416" spans="1:15">
      <c r="A416" s="296">
        <v>45723</v>
      </c>
      <c r="B416" s="215" t="s">
        <v>1557</v>
      </c>
      <c r="C416" s="215" t="s">
        <v>184</v>
      </c>
      <c r="D416" s="215" t="s">
        <v>124</v>
      </c>
      <c r="E416" s="222">
        <v>170000</v>
      </c>
      <c r="F416" s="283">
        <f t="shared" si="13"/>
        <v>293.48244543384476</v>
      </c>
      <c r="G416" s="222">
        <v>579.25099999999998</v>
      </c>
      <c r="H416" s="215" t="s">
        <v>351</v>
      </c>
      <c r="I416" s="215" t="s">
        <v>1333</v>
      </c>
      <c r="J416" s="215" t="s">
        <v>100</v>
      </c>
      <c r="K416" s="215" t="s">
        <v>211</v>
      </c>
      <c r="L416" s="215" t="s">
        <v>159</v>
      </c>
      <c r="M416" s="284"/>
      <c r="N416" s="77"/>
      <c r="O416" s="77"/>
    </row>
    <row r="417" spans="1:15" ht="14.4">
      <c r="A417" s="296">
        <v>45723</v>
      </c>
      <c r="B417" s="215" t="s">
        <v>1155</v>
      </c>
      <c r="C417" s="215" t="s">
        <v>128</v>
      </c>
      <c r="D417" s="215"/>
      <c r="E417" s="222"/>
      <c r="F417" s="283">
        <f t="shared" si="13"/>
        <v>0</v>
      </c>
      <c r="G417" s="282">
        <v>579.64599999999996</v>
      </c>
      <c r="H417" s="215" t="s">
        <v>151</v>
      </c>
      <c r="I417" s="215" t="s">
        <v>1191</v>
      </c>
      <c r="J417" s="215" t="s">
        <v>100</v>
      </c>
      <c r="K417" s="215" t="s">
        <v>211</v>
      </c>
      <c r="L417" s="215" t="s">
        <v>159</v>
      </c>
      <c r="M417" s="286">
        <v>17389380</v>
      </c>
      <c r="N417" s="204">
        <v>30000</v>
      </c>
      <c r="O417" s="77"/>
    </row>
    <row r="418" spans="1:15" ht="14.4">
      <c r="A418" s="296">
        <v>45723</v>
      </c>
      <c r="B418" s="215" t="s">
        <v>1156</v>
      </c>
      <c r="C418" s="215" t="s">
        <v>128</v>
      </c>
      <c r="D418" s="215"/>
      <c r="E418" s="222"/>
      <c r="F418" s="283">
        <f t="shared" si="13"/>
        <v>0</v>
      </c>
      <c r="G418" s="77">
        <v>579.64599999999996</v>
      </c>
      <c r="H418" s="215" t="s">
        <v>151</v>
      </c>
      <c r="I418" s="215" t="s">
        <v>1192</v>
      </c>
      <c r="J418" s="215" t="s">
        <v>100</v>
      </c>
      <c r="K418" s="215" t="s">
        <v>1494</v>
      </c>
      <c r="L418" s="215" t="s">
        <v>159</v>
      </c>
      <c r="M418" s="286">
        <v>2898230</v>
      </c>
      <c r="N418" s="204">
        <v>5000</v>
      </c>
      <c r="O418" s="77"/>
    </row>
    <row r="419" spans="1:15">
      <c r="A419" s="296">
        <v>45724</v>
      </c>
      <c r="B419" s="215" t="s">
        <v>1458</v>
      </c>
      <c r="C419" s="215" t="s">
        <v>184</v>
      </c>
      <c r="D419" s="215" t="s">
        <v>524</v>
      </c>
      <c r="E419" s="222">
        <v>105000</v>
      </c>
      <c r="F419" s="283">
        <f t="shared" si="13"/>
        <v>181.14504369908531</v>
      </c>
      <c r="G419" s="222">
        <v>579.64599999999996</v>
      </c>
      <c r="H419" s="215" t="s">
        <v>209</v>
      </c>
      <c r="I419" s="215" t="s">
        <v>1497</v>
      </c>
      <c r="J419" s="215" t="s">
        <v>100</v>
      </c>
      <c r="K419" s="215" t="s">
        <v>211</v>
      </c>
      <c r="L419" s="215" t="s">
        <v>159</v>
      </c>
      <c r="M419" s="285"/>
      <c r="N419" s="215"/>
      <c r="O419" s="77"/>
    </row>
    <row r="420" spans="1:15">
      <c r="A420" s="296">
        <v>45724</v>
      </c>
      <c r="B420" s="215" t="s">
        <v>1459</v>
      </c>
      <c r="C420" s="215" t="s">
        <v>179</v>
      </c>
      <c r="D420" s="215" t="s">
        <v>524</v>
      </c>
      <c r="E420" s="222">
        <v>7000</v>
      </c>
      <c r="F420" s="283">
        <f t="shared" si="13"/>
        <v>12.076336246605688</v>
      </c>
      <c r="G420" s="222">
        <v>579.64599999999996</v>
      </c>
      <c r="H420" s="215" t="s">
        <v>209</v>
      </c>
      <c r="I420" s="215" t="s">
        <v>1498</v>
      </c>
      <c r="J420" s="215" t="s">
        <v>100</v>
      </c>
      <c r="K420" s="215" t="s">
        <v>211</v>
      </c>
      <c r="L420" s="215" t="s">
        <v>159</v>
      </c>
      <c r="M420" s="285"/>
      <c r="N420" s="215"/>
      <c r="O420" s="77"/>
    </row>
    <row r="421" spans="1:15">
      <c r="A421" s="296">
        <v>45724</v>
      </c>
      <c r="B421" s="215" t="s">
        <v>1522</v>
      </c>
      <c r="C421" s="215" t="s">
        <v>184</v>
      </c>
      <c r="D421" s="215" t="s">
        <v>524</v>
      </c>
      <c r="E421" s="222">
        <v>165000</v>
      </c>
      <c r="F421" s="283">
        <f t="shared" si="13"/>
        <v>284.6564972414198</v>
      </c>
      <c r="G421" s="222">
        <v>579.64599999999996</v>
      </c>
      <c r="H421" s="215" t="s">
        <v>195</v>
      </c>
      <c r="I421" s="215" t="s">
        <v>1355</v>
      </c>
      <c r="J421" s="215" t="s">
        <v>100</v>
      </c>
      <c r="K421" s="215" t="s">
        <v>211</v>
      </c>
      <c r="L421" s="215" t="s">
        <v>159</v>
      </c>
      <c r="M421" s="284"/>
      <c r="N421" s="77"/>
      <c r="O421" s="77"/>
    </row>
    <row r="422" spans="1:15">
      <c r="A422" s="296">
        <v>45726</v>
      </c>
      <c r="B422" s="215" t="s">
        <v>960</v>
      </c>
      <c r="C422" s="215" t="s">
        <v>130</v>
      </c>
      <c r="D422" s="215" t="s">
        <v>120</v>
      </c>
      <c r="E422" s="222">
        <v>30000</v>
      </c>
      <c r="F422" s="283">
        <f t="shared" si="13"/>
        <v>51.755726771167232</v>
      </c>
      <c r="G422" s="222">
        <v>579.64599999999996</v>
      </c>
      <c r="H422" s="215" t="s">
        <v>161</v>
      </c>
      <c r="I422" s="215" t="s">
        <v>1136</v>
      </c>
      <c r="J422" s="215" t="s">
        <v>100</v>
      </c>
      <c r="K422" s="215" t="s">
        <v>211</v>
      </c>
      <c r="L422" s="215" t="s">
        <v>159</v>
      </c>
      <c r="M422" s="285"/>
      <c r="N422" s="215"/>
      <c r="O422" s="77"/>
    </row>
    <row r="423" spans="1:15">
      <c r="A423" s="296">
        <v>45726</v>
      </c>
      <c r="B423" s="215" t="s">
        <v>961</v>
      </c>
      <c r="C423" s="215" t="s">
        <v>278</v>
      </c>
      <c r="D423" s="215" t="s">
        <v>208</v>
      </c>
      <c r="E423" s="222">
        <v>45000</v>
      </c>
      <c r="F423" s="283">
        <f t="shared" si="13"/>
        <v>77.633590156750856</v>
      </c>
      <c r="G423" s="222">
        <v>579.64599999999996</v>
      </c>
      <c r="H423" s="215" t="s">
        <v>161</v>
      </c>
      <c r="I423" s="215" t="s">
        <v>1137</v>
      </c>
      <c r="J423" s="215" t="s">
        <v>100</v>
      </c>
      <c r="K423" s="215" t="s">
        <v>211</v>
      </c>
      <c r="L423" s="215" t="s">
        <v>159</v>
      </c>
      <c r="M423" s="285"/>
      <c r="N423" s="215"/>
      <c r="O423" s="77"/>
    </row>
    <row r="424" spans="1:15">
      <c r="A424" s="296">
        <v>45726</v>
      </c>
      <c r="B424" s="215" t="s">
        <v>1541</v>
      </c>
      <c r="C424" s="215" t="s">
        <v>179</v>
      </c>
      <c r="D424" s="215" t="s">
        <v>124</v>
      </c>
      <c r="E424" s="222">
        <v>10000</v>
      </c>
      <c r="F424" s="283">
        <f t="shared" si="13"/>
        <v>17.251908923722411</v>
      </c>
      <c r="G424" s="222">
        <v>579.64599999999996</v>
      </c>
      <c r="H424" s="215" t="s">
        <v>192</v>
      </c>
      <c r="I424" s="215" t="s">
        <v>1253</v>
      </c>
      <c r="J424" s="215" t="s">
        <v>100</v>
      </c>
      <c r="K424" s="215" t="s">
        <v>211</v>
      </c>
      <c r="L424" s="215" t="s">
        <v>159</v>
      </c>
      <c r="M424" s="284"/>
      <c r="N424" s="77"/>
      <c r="O424" s="77"/>
    </row>
    <row r="425" spans="1:15">
      <c r="A425" s="296">
        <v>45726</v>
      </c>
      <c r="B425" s="215" t="s">
        <v>1535</v>
      </c>
      <c r="C425" s="215" t="s">
        <v>414</v>
      </c>
      <c r="D425" s="215" t="s">
        <v>124</v>
      </c>
      <c r="E425" s="222">
        <v>16000</v>
      </c>
      <c r="F425" s="283">
        <f t="shared" si="13"/>
        <v>27.603054277955859</v>
      </c>
      <c r="G425" s="222">
        <v>579.64599999999996</v>
      </c>
      <c r="H425" s="215" t="s">
        <v>351</v>
      </c>
      <c r="I425" s="215" t="s">
        <v>1335</v>
      </c>
      <c r="J425" s="215" t="s">
        <v>100</v>
      </c>
      <c r="K425" s="215" t="s">
        <v>211</v>
      </c>
      <c r="L425" s="215" t="s">
        <v>159</v>
      </c>
      <c r="M425" s="284"/>
      <c r="N425" s="77"/>
      <c r="O425" s="77"/>
    </row>
    <row r="426" spans="1:15">
      <c r="A426" s="296">
        <v>45726</v>
      </c>
      <c r="B426" s="215" t="s">
        <v>644</v>
      </c>
      <c r="C426" s="215" t="s">
        <v>1539</v>
      </c>
      <c r="D426" s="215" t="s">
        <v>121</v>
      </c>
      <c r="E426" s="222">
        <v>4170</v>
      </c>
      <c r="F426" s="283">
        <f t="shared" si="13"/>
        <v>7.1940460211922455</v>
      </c>
      <c r="G426" s="222">
        <v>579.64599999999996</v>
      </c>
      <c r="H426" s="215" t="s">
        <v>201</v>
      </c>
      <c r="I426" s="215" t="s">
        <v>1090</v>
      </c>
      <c r="J426" s="215" t="s">
        <v>100</v>
      </c>
      <c r="K426" s="215" t="s">
        <v>211</v>
      </c>
      <c r="L426" s="215" t="s">
        <v>159</v>
      </c>
      <c r="M426" s="284"/>
      <c r="N426" s="77"/>
      <c r="O426" s="77"/>
    </row>
    <row r="427" spans="1:15">
      <c r="A427" s="296">
        <v>45726</v>
      </c>
      <c r="B427" s="215" t="s">
        <v>1157</v>
      </c>
      <c r="C427" s="215" t="s">
        <v>126</v>
      </c>
      <c r="D427" s="215" t="s">
        <v>120</v>
      </c>
      <c r="E427" s="222">
        <v>150000</v>
      </c>
      <c r="F427" s="283">
        <f t="shared" ref="F427:F490" si="14">+E427/G427</f>
        <v>258.77863385583618</v>
      </c>
      <c r="G427" s="222">
        <v>579.64599999999996</v>
      </c>
      <c r="H427" s="215" t="s">
        <v>151</v>
      </c>
      <c r="I427" s="215" t="s">
        <v>1208</v>
      </c>
      <c r="J427" s="215" t="s">
        <v>100</v>
      </c>
      <c r="K427" s="215" t="s">
        <v>211</v>
      </c>
      <c r="L427" s="215" t="s">
        <v>159</v>
      </c>
      <c r="M427" s="284"/>
      <c r="N427" s="77"/>
      <c r="O427" s="77"/>
    </row>
    <row r="428" spans="1:15">
      <c r="A428" s="296">
        <v>45726</v>
      </c>
      <c r="B428" s="215" t="s">
        <v>1158</v>
      </c>
      <c r="C428" s="215" t="s">
        <v>126</v>
      </c>
      <c r="D428" s="215" t="s">
        <v>120</v>
      </c>
      <c r="E428" s="222">
        <v>150000</v>
      </c>
      <c r="F428" s="283">
        <f t="shared" si="14"/>
        <v>258.77863385583618</v>
      </c>
      <c r="G428" s="222">
        <v>579.64599999999996</v>
      </c>
      <c r="H428" s="215" t="s">
        <v>151</v>
      </c>
      <c r="I428" s="215" t="s">
        <v>1209</v>
      </c>
      <c r="J428" s="215" t="s">
        <v>100</v>
      </c>
      <c r="K428" s="215" t="s">
        <v>211</v>
      </c>
      <c r="L428" s="215" t="s">
        <v>159</v>
      </c>
      <c r="M428" s="284"/>
      <c r="N428" s="77"/>
      <c r="O428" s="77"/>
    </row>
    <row r="429" spans="1:15">
      <c r="A429" s="296">
        <v>45726</v>
      </c>
      <c r="B429" s="215" t="s">
        <v>1159</v>
      </c>
      <c r="C429" s="215" t="s">
        <v>130</v>
      </c>
      <c r="D429" s="215" t="s">
        <v>122</v>
      </c>
      <c r="E429" s="222">
        <v>1311000</v>
      </c>
      <c r="F429" s="283">
        <f t="shared" si="14"/>
        <v>2261.725259900008</v>
      </c>
      <c r="G429" s="222">
        <v>579.64599999999996</v>
      </c>
      <c r="H429" s="215" t="s">
        <v>151</v>
      </c>
      <c r="I429" s="215" t="s">
        <v>1210</v>
      </c>
      <c r="J429" s="215" t="s">
        <v>100</v>
      </c>
      <c r="K429" s="215" t="s">
        <v>211</v>
      </c>
      <c r="L429" s="215" t="s">
        <v>159</v>
      </c>
      <c r="M429" s="284"/>
      <c r="N429" s="77"/>
      <c r="O429" s="77"/>
    </row>
    <row r="430" spans="1:15">
      <c r="A430" s="296">
        <v>45727</v>
      </c>
      <c r="B430" s="215" t="s">
        <v>963</v>
      </c>
      <c r="C430" s="215" t="s">
        <v>130</v>
      </c>
      <c r="D430" s="215" t="s">
        <v>964</v>
      </c>
      <c r="E430" s="222">
        <v>112000</v>
      </c>
      <c r="F430" s="283">
        <f t="shared" si="14"/>
        <v>193.22137994569101</v>
      </c>
      <c r="G430" s="222">
        <v>579.64599999999996</v>
      </c>
      <c r="H430" s="215" t="s">
        <v>673</v>
      </c>
      <c r="I430" s="215" t="s">
        <v>1092</v>
      </c>
      <c r="J430" s="215" t="s">
        <v>100</v>
      </c>
      <c r="K430" s="215" t="s">
        <v>211</v>
      </c>
      <c r="L430" s="215" t="s">
        <v>159</v>
      </c>
      <c r="M430" s="285"/>
      <c r="N430" s="215"/>
      <c r="O430" s="77"/>
    </row>
    <row r="431" spans="1:15">
      <c r="A431" s="296">
        <v>45727</v>
      </c>
      <c r="B431" s="215" t="s">
        <v>1548</v>
      </c>
      <c r="C431" s="215" t="s">
        <v>184</v>
      </c>
      <c r="D431" s="215" t="s">
        <v>124</v>
      </c>
      <c r="E431" s="222">
        <v>130000</v>
      </c>
      <c r="F431" s="283">
        <f t="shared" si="14"/>
        <v>224.27481600839135</v>
      </c>
      <c r="G431" s="77">
        <v>579.64599999999996</v>
      </c>
      <c r="H431" s="215" t="s">
        <v>192</v>
      </c>
      <c r="I431" s="215" t="s">
        <v>1254</v>
      </c>
      <c r="J431" s="215" t="s">
        <v>100</v>
      </c>
      <c r="K431" s="215" t="s">
        <v>1494</v>
      </c>
      <c r="L431" s="215" t="s">
        <v>159</v>
      </c>
      <c r="M431" s="284"/>
      <c r="N431" s="77"/>
      <c r="O431" s="77"/>
    </row>
    <row r="432" spans="1:15">
      <c r="A432" s="296">
        <v>45727</v>
      </c>
      <c r="B432" s="215" t="s">
        <v>1568</v>
      </c>
      <c r="C432" s="215" t="s">
        <v>184</v>
      </c>
      <c r="D432" s="215" t="s">
        <v>180</v>
      </c>
      <c r="E432" s="222">
        <v>70000</v>
      </c>
      <c r="F432" s="283">
        <f t="shared" si="14"/>
        <v>120.76336246605688</v>
      </c>
      <c r="G432" s="77">
        <v>579.64599999999996</v>
      </c>
      <c r="H432" s="215" t="s">
        <v>181</v>
      </c>
      <c r="I432" s="215" t="s">
        <v>1278</v>
      </c>
      <c r="J432" s="215" t="s">
        <v>100</v>
      </c>
      <c r="K432" s="215" t="s">
        <v>1494</v>
      </c>
      <c r="L432" s="215" t="s">
        <v>159</v>
      </c>
      <c r="M432" s="284"/>
      <c r="N432" s="77"/>
      <c r="O432" s="77"/>
    </row>
    <row r="433" spans="1:15">
      <c r="A433" s="296">
        <v>45727</v>
      </c>
      <c r="B433" s="215" t="s">
        <v>1569</v>
      </c>
      <c r="C433" s="215" t="s">
        <v>179</v>
      </c>
      <c r="D433" s="215" t="s">
        <v>180</v>
      </c>
      <c r="E433" s="222">
        <v>6000</v>
      </c>
      <c r="F433" s="283">
        <f t="shared" si="14"/>
        <v>10.351145354233447</v>
      </c>
      <c r="G433" s="77">
        <v>579.64599999999996</v>
      </c>
      <c r="H433" s="215" t="s">
        <v>181</v>
      </c>
      <c r="I433" s="215" t="s">
        <v>1279</v>
      </c>
      <c r="J433" s="215" t="s">
        <v>100</v>
      </c>
      <c r="K433" s="215" t="s">
        <v>1494</v>
      </c>
      <c r="L433" s="215" t="s">
        <v>159</v>
      </c>
      <c r="M433" s="284"/>
      <c r="N433" s="77"/>
      <c r="O433" s="77"/>
    </row>
    <row r="434" spans="1:15">
      <c r="A434" s="296">
        <v>45727</v>
      </c>
      <c r="B434" s="215" t="s">
        <v>1580</v>
      </c>
      <c r="C434" s="215" t="s">
        <v>184</v>
      </c>
      <c r="D434" s="215" t="s">
        <v>124</v>
      </c>
      <c r="E434" s="222">
        <v>70000</v>
      </c>
      <c r="F434" s="283">
        <f t="shared" si="14"/>
        <v>120.76336246605688</v>
      </c>
      <c r="G434" s="77">
        <v>579.64599999999996</v>
      </c>
      <c r="H434" s="215" t="s">
        <v>340</v>
      </c>
      <c r="I434" s="215" t="s">
        <v>1311</v>
      </c>
      <c r="J434" s="215" t="s">
        <v>100</v>
      </c>
      <c r="K434" s="215" t="s">
        <v>1494</v>
      </c>
      <c r="L434" s="215" t="s">
        <v>159</v>
      </c>
      <c r="M434" s="284"/>
      <c r="N434" s="77"/>
      <c r="O434" s="77"/>
    </row>
    <row r="435" spans="1:15">
      <c r="A435" s="296">
        <v>45727</v>
      </c>
      <c r="B435" s="215" t="s">
        <v>1560</v>
      </c>
      <c r="C435" s="215" t="s">
        <v>179</v>
      </c>
      <c r="D435" s="215" t="s">
        <v>124</v>
      </c>
      <c r="E435" s="222">
        <v>12000</v>
      </c>
      <c r="F435" s="283">
        <f t="shared" si="14"/>
        <v>20.702290708466894</v>
      </c>
      <c r="G435" s="77">
        <v>579.64599999999996</v>
      </c>
      <c r="H435" s="215" t="s">
        <v>340</v>
      </c>
      <c r="I435" s="215" t="s">
        <v>1312</v>
      </c>
      <c r="J435" s="215" t="s">
        <v>100</v>
      </c>
      <c r="K435" s="215" t="s">
        <v>1494</v>
      </c>
      <c r="L435" s="215" t="s">
        <v>159</v>
      </c>
      <c r="M435" s="284"/>
      <c r="N435" s="77"/>
      <c r="O435" s="77"/>
    </row>
    <row r="436" spans="1:15">
      <c r="A436" s="296">
        <v>45727</v>
      </c>
      <c r="B436" s="215" t="s">
        <v>962</v>
      </c>
      <c r="C436" s="215" t="s">
        <v>129</v>
      </c>
      <c r="D436" s="215" t="s">
        <v>121</v>
      </c>
      <c r="E436" s="222">
        <v>72102</v>
      </c>
      <c r="F436" s="283">
        <f t="shared" si="14"/>
        <v>124.38971372182333</v>
      </c>
      <c r="G436" s="77">
        <v>579.64599999999996</v>
      </c>
      <c r="H436" s="215" t="s">
        <v>201</v>
      </c>
      <c r="I436" s="215" t="s">
        <v>1091</v>
      </c>
      <c r="J436" s="215" t="s">
        <v>100</v>
      </c>
      <c r="K436" s="215" t="s">
        <v>1494</v>
      </c>
      <c r="L436" s="215" t="s">
        <v>159</v>
      </c>
      <c r="M436" s="284"/>
      <c r="N436" s="77"/>
      <c r="O436" s="77"/>
    </row>
    <row r="437" spans="1:15">
      <c r="A437" s="296">
        <v>45727</v>
      </c>
      <c r="B437" s="215" t="s">
        <v>1161</v>
      </c>
      <c r="C437" s="215" t="s">
        <v>128</v>
      </c>
      <c r="D437" s="215"/>
      <c r="E437" s="222">
        <v>2107400</v>
      </c>
      <c r="F437" s="283">
        <f t="shared" si="14"/>
        <v>3635.6672865852611</v>
      </c>
      <c r="G437" s="77">
        <v>579.64599999999996</v>
      </c>
      <c r="H437" s="215" t="s">
        <v>151</v>
      </c>
      <c r="I437" s="215" t="s">
        <v>1193</v>
      </c>
      <c r="J437" s="215" t="s">
        <v>100</v>
      </c>
      <c r="K437" s="215" t="s">
        <v>1489</v>
      </c>
      <c r="L437" s="215" t="s">
        <v>159</v>
      </c>
      <c r="M437" s="284"/>
      <c r="N437" s="77"/>
      <c r="O437" s="77"/>
    </row>
    <row r="438" spans="1:15">
      <c r="A438" s="296">
        <v>45727</v>
      </c>
      <c r="B438" s="215" t="s">
        <v>1162</v>
      </c>
      <c r="C438" s="215" t="s">
        <v>131</v>
      </c>
      <c r="D438" s="215" t="s">
        <v>121</v>
      </c>
      <c r="E438" s="222">
        <v>24268</v>
      </c>
      <c r="F438" s="283">
        <f t="shared" si="14"/>
        <v>41.866932576089546</v>
      </c>
      <c r="G438" s="77">
        <v>579.64599999999996</v>
      </c>
      <c r="H438" s="215" t="s">
        <v>151</v>
      </c>
      <c r="I438" s="215" t="s">
        <v>1211</v>
      </c>
      <c r="J438" s="215" t="s">
        <v>100</v>
      </c>
      <c r="K438" s="215" t="s">
        <v>1494</v>
      </c>
      <c r="L438" s="215" t="s">
        <v>159</v>
      </c>
      <c r="M438" s="284"/>
      <c r="N438" s="77"/>
      <c r="O438" s="77"/>
    </row>
    <row r="439" spans="1:15">
      <c r="A439" s="296">
        <v>45727</v>
      </c>
      <c r="B439" s="215" t="s">
        <v>1163</v>
      </c>
      <c r="C439" s="215" t="s">
        <v>130</v>
      </c>
      <c r="D439" s="215" t="s">
        <v>121</v>
      </c>
      <c r="E439" s="222">
        <v>398693</v>
      </c>
      <c r="F439" s="283">
        <f t="shared" si="14"/>
        <v>687.82153245256598</v>
      </c>
      <c r="G439" s="222">
        <v>579.64599999999996</v>
      </c>
      <c r="H439" s="215" t="s">
        <v>151</v>
      </c>
      <c r="I439" s="215" t="s">
        <v>1212</v>
      </c>
      <c r="J439" s="215" t="s">
        <v>100</v>
      </c>
      <c r="K439" s="215" t="s">
        <v>211</v>
      </c>
      <c r="L439" s="215" t="s">
        <v>159</v>
      </c>
      <c r="M439" s="284"/>
      <c r="N439" s="77"/>
      <c r="O439" s="77"/>
    </row>
    <row r="440" spans="1:15">
      <c r="A440" s="296">
        <v>45727</v>
      </c>
      <c r="B440" s="215" t="s">
        <v>1164</v>
      </c>
      <c r="C440" s="215" t="s">
        <v>131</v>
      </c>
      <c r="D440" s="215" t="s">
        <v>121</v>
      </c>
      <c r="E440" s="222">
        <v>18255</v>
      </c>
      <c r="F440" s="283">
        <f t="shared" si="14"/>
        <v>31.493359740255261</v>
      </c>
      <c r="G440" s="77">
        <v>579.64599999999996</v>
      </c>
      <c r="H440" s="215" t="s">
        <v>151</v>
      </c>
      <c r="I440" s="215" t="s">
        <v>1213</v>
      </c>
      <c r="J440" s="215" t="s">
        <v>100</v>
      </c>
      <c r="K440" s="215" t="s">
        <v>1494</v>
      </c>
      <c r="L440" s="215" t="s">
        <v>159</v>
      </c>
      <c r="M440" s="284"/>
      <c r="N440" s="77"/>
      <c r="O440" s="77"/>
    </row>
    <row r="441" spans="1:15">
      <c r="A441" s="296">
        <v>45728</v>
      </c>
      <c r="B441" s="215" t="s">
        <v>1536</v>
      </c>
      <c r="C441" s="215" t="s">
        <v>1538</v>
      </c>
      <c r="D441" s="215" t="s">
        <v>121</v>
      </c>
      <c r="E441" s="222">
        <v>56550</v>
      </c>
      <c r="F441" s="283">
        <f t="shared" si="14"/>
        <v>97.559544963650239</v>
      </c>
      <c r="G441" s="77">
        <v>579.64599999999996</v>
      </c>
      <c r="H441" s="215" t="s">
        <v>673</v>
      </c>
      <c r="I441" s="215" t="s">
        <v>1094</v>
      </c>
      <c r="J441" s="215" t="s">
        <v>100</v>
      </c>
      <c r="K441" s="215" t="s">
        <v>1494</v>
      </c>
      <c r="L441" s="215" t="s">
        <v>159</v>
      </c>
      <c r="M441" s="285"/>
      <c r="N441" s="215"/>
      <c r="O441" s="215"/>
    </row>
    <row r="442" spans="1:15">
      <c r="A442" s="296">
        <v>45728</v>
      </c>
      <c r="B442" s="215" t="s">
        <v>965</v>
      </c>
      <c r="C442" s="215" t="s">
        <v>155</v>
      </c>
      <c r="D442" s="215" t="s">
        <v>120</v>
      </c>
      <c r="E442" s="222">
        <v>15000</v>
      </c>
      <c r="F442" s="283">
        <f t="shared" si="14"/>
        <v>25.877863385583616</v>
      </c>
      <c r="G442" s="77">
        <v>579.64599999999996</v>
      </c>
      <c r="H442" s="215" t="s">
        <v>673</v>
      </c>
      <c r="I442" s="215" t="s">
        <v>1095</v>
      </c>
      <c r="J442" s="215" t="s">
        <v>100</v>
      </c>
      <c r="K442" s="215" t="s">
        <v>1494</v>
      </c>
      <c r="L442" s="215" t="s">
        <v>159</v>
      </c>
      <c r="M442" s="285"/>
      <c r="N442" s="215"/>
      <c r="O442" s="215"/>
    </row>
    <row r="443" spans="1:15">
      <c r="A443" s="296">
        <v>45728</v>
      </c>
      <c r="B443" s="215" t="s">
        <v>1570</v>
      </c>
      <c r="C443" s="215" t="s">
        <v>184</v>
      </c>
      <c r="D443" s="215" t="s">
        <v>180</v>
      </c>
      <c r="E443" s="222">
        <v>15000</v>
      </c>
      <c r="F443" s="283">
        <f t="shared" si="14"/>
        <v>25.877863385583616</v>
      </c>
      <c r="G443" s="77">
        <v>579.64599999999996</v>
      </c>
      <c r="H443" s="215" t="s">
        <v>181</v>
      </c>
      <c r="I443" s="215" t="s">
        <v>1280</v>
      </c>
      <c r="J443" s="215" t="s">
        <v>100</v>
      </c>
      <c r="K443" s="215" t="s">
        <v>1494</v>
      </c>
      <c r="L443" s="215" t="s">
        <v>159</v>
      </c>
      <c r="M443" s="284"/>
      <c r="N443" s="77"/>
      <c r="O443" s="77"/>
    </row>
    <row r="444" spans="1:15">
      <c r="A444" s="296">
        <v>45728</v>
      </c>
      <c r="B444" s="215" t="s">
        <v>1569</v>
      </c>
      <c r="C444" s="215" t="s">
        <v>179</v>
      </c>
      <c r="D444" s="215" t="s">
        <v>180</v>
      </c>
      <c r="E444" s="222">
        <v>4000</v>
      </c>
      <c r="F444" s="283">
        <f t="shared" si="14"/>
        <v>6.9007635694889649</v>
      </c>
      <c r="G444" s="77">
        <v>579.64599999999996</v>
      </c>
      <c r="H444" s="215" t="s">
        <v>181</v>
      </c>
      <c r="I444" s="215" t="s">
        <v>1281</v>
      </c>
      <c r="J444" s="215" t="s">
        <v>100</v>
      </c>
      <c r="K444" s="215" t="s">
        <v>1494</v>
      </c>
      <c r="L444" s="215" t="s">
        <v>159</v>
      </c>
      <c r="M444" s="284"/>
      <c r="N444" s="77"/>
      <c r="O444" s="77"/>
    </row>
    <row r="445" spans="1:15">
      <c r="A445" s="296">
        <v>45728</v>
      </c>
      <c r="B445" s="215" t="s">
        <v>1516</v>
      </c>
      <c r="C445" s="215" t="s">
        <v>1538</v>
      </c>
      <c r="D445" s="215" t="s">
        <v>121</v>
      </c>
      <c r="E445" s="222">
        <v>25000</v>
      </c>
      <c r="F445" s="283">
        <f t="shared" si="14"/>
        <v>43.129772309306027</v>
      </c>
      <c r="G445" s="77">
        <v>579.64599999999996</v>
      </c>
      <c r="H445" s="215" t="s">
        <v>201</v>
      </c>
      <c r="I445" s="215" t="s">
        <v>1093</v>
      </c>
      <c r="J445" s="215" t="s">
        <v>100</v>
      </c>
      <c r="K445" s="215" t="s">
        <v>1494</v>
      </c>
      <c r="L445" s="215" t="s">
        <v>159</v>
      </c>
      <c r="M445" s="284"/>
      <c r="N445" s="77"/>
      <c r="O445" s="77"/>
    </row>
    <row r="446" spans="1:15">
      <c r="A446" s="296">
        <v>45729</v>
      </c>
      <c r="B446" s="215" t="s">
        <v>644</v>
      </c>
      <c r="C446" s="215" t="s">
        <v>1539</v>
      </c>
      <c r="D446" s="215" t="s">
        <v>121</v>
      </c>
      <c r="E446" s="222">
        <v>1740</v>
      </c>
      <c r="F446" s="283">
        <f t="shared" si="14"/>
        <v>3.0018321527276997</v>
      </c>
      <c r="G446" s="77">
        <v>579.64599999999996</v>
      </c>
      <c r="H446" s="215" t="s">
        <v>201</v>
      </c>
      <c r="I446" s="215" t="s">
        <v>1096</v>
      </c>
      <c r="J446" s="215" t="s">
        <v>100</v>
      </c>
      <c r="K446" s="215" t="s">
        <v>1494</v>
      </c>
      <c r="L446" s="215" t="s">
        <v>159</v>
      </c>
      <c r="M446" s="284"/>
      <c r="N446" s="77"/>
      <c r="O446" s="77"/>
    </row>
    <row r="447" spans="1:15">
      <c r="A447" s="296">
        <v>45730</v>
      </c>
      <c r="B447" s="215" t="s">
        <v>1571</v>
      </c>
      <c r="C447" s="215" t="s">
        <v>184</v>
      </c>
      <c r="D447" s="215" t="s">
        <v>180</v>
      </c>
      <c r="E447" s="222">
        <v>30000</v>
      </c>
      <c r="F447" s="283">
        <f t="shared" si="14"/>
        <v>51.755726771167232</v>
      </c>
      <c r="G447" s="77">
        <v>579.64599999999996</v>
      </c>
      <c r="H447" s="215" t="s">
        <v>181</v>
      </c>
      <c r="I447" s="215" t="s">
        <v>1282</v>
      </c>
      <c r="J447" s="215" t="s">
        <v>100</v>
      </c>
      <c r="K447" s="215" t="s">
        <v>1494</v>
      </c>
      <c r="L447" s="215" t="s">
        <v>159</v>
      </c>
      <c r="M447" s="284"/>
      <c r="N447" s="77"/>
      <c r="O447" s="77"/>
    </row>
    <row r="448" spans="1:15">
      <c r="A448" s="296">
        <v>45730</v>
      </c>
      <c r="B448" s="215" t="s">
        <v>1569</v>
      </c>
      <c r="C448" s="215" t="s">
        <v>179</v>
      </c>
      <c r="D448" s="215" t="s">
        <v>180</v>
      </c>
      <c r="E448" s="222">
        <v>4000</v>
      </c>
      <c r="F448" s="283">
        <f t="shared" si="14"/>
        <v>6.9007635694889649</v>
      </c>
      <c r="G448" s="77">
        <v>579.64599999999996</v>
      </c>
      <c r="H448" s="215" t="s">
        <v>181</v>
      </c>
      <c r="I448" s="215" t="s">
        <v>1283</v>
      </c>
      <c r="J448" s="215" t="s">
        <v>100</v>
      </c>
      <c r="K448" s="215" t="s">
        <v>1494</v>
      </c>
      <c r="L448" s="215" t="s">
        <v>159</v>
      </c>
      <c r="M448" s="284"/>
      <c r="N448" s="77"/>
      <c r="O448" s="77"/>
    </row>
    <row r="449" spans="1:15">
      <c r="A449" s="296">
        <v>45730</v>
      </c>
      <c r="B449" s="215" t="s">
        <v>1165</v>
      </c>
      <c r="C449" s="215" t="s">
        <v>126</v>
      </c>
      <c r="D449" s="215" t="s">
        <v>120</v>
      </c>
      <c r="E449" s="222">
        <v>300000</v>
      </c>
      <c r="F449" s="283">
        <f t="shared" si="14"/>
        <v>517.55726771167235</v>
      </c>
      <c r="G449" s="222">
        <v>579.64599999999996</v>
      </c>
      <c r="H449" s="215" t="s">
        <v>151</v>
      </c>
      <c r="I449" s="215" t="s">
        <v>1214</v>
      </c>
      <c r="J449" s="215" t="s">
        <v>100</v>
      </c>
      <c r="K449" s="215" t="s">
        <v>211</v>
      </c>
      <c r="L449" s="215" t="s">
        <v>159</v>
      </c>
      <c r="M449" s="284"/>
      <c r="N449" s="77"/>
      <c r="O449" s="77"/>
    </row>
    <row r="450" spans="1:15">
      <c r="A450" s="296">
        <v>45730</v>
      </c>
      <c r="B450" s="215" t="s">
        <v>1166</v>
      </c>
      <c r="C450" s="215" t="s">
        <v>126</v>
      </c>
      <c r="D450" s="215" t="s">
        <v>120</v>
      </c>
      <c r="E450" s="222">
        <v>200000</v>
      </c>
      <c r="F450" s="283">
        <f t="shared" si="14"/>
        <v>345.03817847444822</v>
      </c>
      <c r="G450" s="222">
        <v>579.64599999999996</v>
      </c>
      <c r="H450" s="215" t="s">
        <v>151</v>
      </c>
      <c r="I450" s="215" t="s">
        <v>1215</v>
      </c>
      <c r="J450" s="215" t="s">
        <v>100</v>
      </c>
      <c r="K450" s="215" t="s">
        <v>211</v>
      </c>
      <c r="L450" s="215" t="s">
        <v>159</v>
      </c>
      <c r="M450" s="284"/>
      <c r="N450" s="77"/>
      <c r="O450" s="77"/>
    </row>
    <row r="451" spans="1:15">
      <c r="A451" s="296">
        <v>45731</v>
      </c>
      <c r="B451" s="215" t="s">
        <v>1572</v>
      </c>
      <c r="C451" s="215" t="s">
        <v>184</v>
      </c>
      <c r="D451" s="215" t="s">
        <v>180</v>
      </c>
      <c r="E451" s="222">
        <v>15000</v>
      </c>
      <c r="F451" s="283">
        <f t="shared" si="14"/>
        <v>25.877863385583616</v>
      </c>
      <c r="G451" s="77">
        <v>579.64599999999996</v>
      </c>
      <c r="H451" s="215" t="s">
        <v>181</v>
      </c>
      <c r="I451" s="215" t="s">
        <v>1284</v>
      </c>
      <c r="J451" s="215" t="s">
        <v>100</v>
      </c>
      <c r="K451" s="215" t="s">
        <v>1494</v>
      </c>
      <c r="L451" s="215" t="s">
        <v>159</v>
      </c>
      <c r="M451" s="284"/>
      <c r="N451" s="77"/>
      <c r="O451" s="77"/>
    </row>
    <row r="452" spans="1:15">
      <c r="A452" s="296">
        <v>45731</v>
      </c>
      <c r="B452" s="215" t="s">
        <v>1569</v>
      </c>
      <c r="C452" s="215" t="s">
        <v>179</v>
      </c>
      <c r="D452" s="215" t="s">
        <v>180</v>
      </c>
      <c r="E452" s="222">
        <v>4000</v>
      </c>
      <c r="F452" s="283">
        <f t="shared" si="14"/>
        <v>6.9007635694889649</v>
      </c>
      <c r="G452" s="77">
        <v>579.64599999999996</v>
      </c>
      <c r="H452" s="215" t="s">
        <v>181</v>
      </c>
      <c r="I452" s="215" t="s">
        <v>1285</v>
      </c>
      <c r="J452" s="215" t="s">
        <v>100</v>
      </c>
      <c r="K452" s="215" t="s">
        <v>1494</v>
      </c>
      <c r="L452" s="215" t="s">
        <v>159</v>
      </c>
      <c r="M452" s="284"/>
      <c r="N452" s="77"/>
      <c r="O452" s="77"/>
    </row>
    <row r="453" spans="1:15">
      <c r="A453" s="296">
        <v>45732</v>
      </c>
      <c r="B453" s="215" t="s">
        <v>1461</v>
      </c>
      <c r="C453" s="215" t="s">
        <v>179</v>
      </c>
      <c r="D453" s="215" t="s">
        <v>524</v>
      </c>
      <c r="E453" s="222">
        <v>10000</v>
      </c>
      <c r="F453" s="283">
        <f t="shared" si="14"/>
        <v>17.251908923722411</v>
      </c>
      <c r="G453" s="77">
        <v>579.64599999999996</v>
      </c>
      <c r="H453" s="215" t="s">
        <v>209</v>
      </c>
      <c r="I453" s="215" t="s">
        <v>1499</v>
      </c>
      <c r="J453" s="215" t="s">
        <v>100</v>
      </c>
      <c r="K453" s="215" t="s">
        <v>1494</v>
      </c>
      <c r="L453" s="215" t="s">
        <v>159</v>
      </c>
      <c r="M453" s="285"/>
      <c r="N453" s="215"/>
      <c r="O453" s="77"/>
    </row>
    <row r="454" spans="1:15">
      <c r="A454" s="296">
        <v>45732</v>
      </c>
      <c r="B454" s="215" t="s">
        <v>1561</v>
      </c>
      <c r="C454" s="215" t="s">
        <v>184</v>
      </c>
      <c r="D454" s="215" t="s">
        <v>124</v>
      </c>
      <c r="E454" s="222">
        <v>75000</v>
      </c>
      <c r="F454" s="283">
        <f t="shared" si="14"/>
        <v>129.38931692791809</v>
      </c>
      <c r="G454" s="77">
        <v>579.64599999999996</v>
      </c>
      <c r="H454" s="215" t="s">
        <v>340</v>
      </c>
      <c r="I454" s="215" t="s">
        <v>1313</v>
      </c>
      <c r="J454" s="215" t="s">
        <v>100</v>
      </c>
      <c r="K454" s="215" t="s">
        <v>1494</v>
      </c>
      <c r="L454" s="215" t="s">
        <v>159</v>
      </c>
      <c r="M454" s="284"/>
      <c r="N454" s="77"/>
      <c r="O454" s="77"/>
    </row>
    <row r="455" spans="1:15">
      <c r="A455" s="296">
        <v>45732</v>
      </c>
      <c r="B455" s="215" t="s">
        <v>1560</v>
      </c>
      <c r="C455" s="215" t="s">
        <v>179</v>
      </c>
      <c r="D455" s="215" t="s">
        <v>124</v>
      </c>
      <c r="E455" s="222">
        <v>7000</v>
      </c>
      <c r="F455" s="283">
        <f t="shared" si="14"/>
        <v>12.076336246605688</v>
      </c>
      <c r="G455" s="77">
        <v>579.64599999999996</v>
      </c>
      <c r="H455" s="215" t="s">
        <v>340</v>
      </c>
      <c r="I455" s="215" t="s">
        <v>1314</v>
      </c>
      <c r="J455" s="215" t="s">
        <v>100</v>
      </c>
      <c r="K455" s="215" t="s">
        <v>1494</v>
      </c>
      <c r="L455" s="215" t="s">
        <v>159</v>
      </c>
      <c r="M455" s="284"/>
      <c r="N455" s="77"/>
      <c r="O455" s="77"/>
    </row>
    <row r="456" spans="1:15">
      <c r="A456" s="296">
        <v>45732</v>
      </c>
      <c r="B456" s="215" t="s">
        <v>1358</v>
      </c>
      <c r="C456" s="215" t="s">
        <v>179</v>
      </c>
      <c r="D456" s="215" t="s">
        <v>524</v>
      </c>
      <c r="E456" s="222">
        <v>10000</v>
      </c>
      <c r="F456" s="283">
        <f t="shared" si="14"/>
        <v>17.251908923722411</v>
      </c>
      <c r="G456" s="77">
        <v>579.64599999999996</v>
      </c>
      <c r="H456" s="215" t="s">
        <v>195</v>
      </c>
      <c r="I456" s="215" t="s">
        <v>1359</v>
      </c>
      <c r="J456" s="215" t="s">
        <v>100</v>
      </c>
      <c r="K456" s="215" t="s">
        <v>1494</v>
      </c>
      <c r="L456" s="215" t="s">
        <v>159</v>
      </c>
      <c r="M456" s="284"/>
      <c r="N456" s="77"/>
      <c r="O456" s="77"/>
    </row>
    <row r="457" spans="1:15">
      <c r="A457" s="296">
        <v>45732</v>
      </c>
      <c r="B457" s="215" t="s">
        <v>1523</v>
      </c>
      <c r="C457" s="215" t="s">
        <v>179</v>
      </c>
      <c r="D457" s="215" t="s">
        <v>120</v>
      </c>
      <c r="E457" s="297">
        <v>10000</v>
      </c>
      <c r="F457" s="283">
        <f t="shared" si="14"/>
        <v>17.251908923722411</v>
      </c>
      <c r="G457" s="77">
        <v>579.64599999999996</v>
      </c>
      <c r="H457" s="215" t="s">
        <v>198</v>
      </c>
      <c r="I457" s="215" t="s">
        <v>1389</v>
      </c>
      <c r="J457" s="215" t="s">
        <v>100</v>
      </c>
      <c r="K457" s="215" t="s">
        <v>1494</v>
      </c>
      <c r="L457" s="215" t="s">
        <v>159</v>
      </c>
      <c r="M457" s="284"/>
      <c r="N457" s="77"/>
      <c r="O457" s="77"/>
    </row>
    <row r="458" spans="1:15">
      <c r="A458" s="296">
        <v>45732</v>
      </c>
      <c r="B458" s="215" t="s">
        <v>1418</v>
      </c>
      <c r="C458" s="215" t="s">
        <v>204</v>
      </c>
      <c r="D458" s="215" t="s">
        <v>120</v>
      </c>
      <c r="E458" s="222">
        <v>10000</v>
      </c>
      <c r="F458" s="283">
        <f t="shared" si="14"/>
        <v>17.251908923722411</v>
      </c>
      <c r="G458" s="77">
        <v>579.64599999999996</v>
      </c>
      <c r="H458" s="215" t="s">
        <v>505</v>
      </c>
      <c r="I458" s="215" t="s">
        <v>1419</v>
      </c>
      <c r="J458" s="215" t="s">
        <v>100</v>
      </c>
      <c r="K458" s="215" t="s">
        <v>1494</v>
      </c>
      <c r="L458" s="215" t="s">
        <v>159</v>
      </c>
      <c r="M458" s="284"/>
      <c r="N458" s="77"/>
      <c r="O458" s="77"/>
    </row>
    <row r="459" spans="1:15">
      <c r="A459" s="296">
        <v>45732</v>
      </c>
      <c r="B459" s="215" t="s">
        <v>1524</v>
      </c>
      <c r="C459" s="215" t="s">
        <v>179</v>
      </c>
      <c r="D459" s="215" t="s">
        <v>208</v>
      </c>
      <c r="E459" s="222">
        <v>10000</v>
      </c>
      <c r="F459" s="283">
        <f t="shared" si="14"/>
        <v>17.251908923722411</v>
      </c>
      <c r="G459" s="77">
        <v>579.64599999999996</v>
      </c>
      <c r="H459" s="215" t="s">
        <v>223</v>
      </c>
      <c r="I459" s="215" t="s">
        <v>1440</v>
      </c>
      <c r="J459" s="215" t="s">
        <v>100</v>
      </c>
      <c r="K459" s="215" t="s">
        <v>1494</v>
      </c>
      <c r="L459" s="215" t="s">
        <v>159</v>
      </c>
      <c r="M459" s="284"/>
      <c r="N459" s="77"/>
      <c r="O459" s="77"/>
    </row>
    <row r="460" spans="1:15">
      <c r="A460" s="296">
        <v>45733</v>
      </c>
      <c r="B460" s="215" t="s">
        <v>1462</v>
      </c>
      <c r="C460" s="215" t="s">
        <v>184</v>
      </c>
      <c r="D460" s="215" t="s">
        <v>525</v>
      </c>
      <c r="E460" s="222">
        <v>190000</v>
      </c>
      <c r="F460" s="283">
        <f t="shared" si="14"/>
        <v>327.78626955072582</v>
      </c>
      <c r="G460" s="222">
        <v>579.64599999999996</v>
      </c>
      <c r="H460" s="215" t="s">
        <v>209</v>
      </c>
      <c r="I460" s="215" t="s">
        <v>1463</v>
      </c>
      <c r="J460" s="215" t="s">
        <v>100</v>
      </c>
      <c r="K460" s="215" t="s">
        <v>211</v>
      </c>
      <c r="L460" s="215" t="s">
        <v>159</v>
      </c>
      <c r="M460" s="285"/>
      <c r="N460" s="215"/>
      <c r="O460" s="77"/>
    </row>
    <row r="461" spans="1:15">
      <c r="A461" s="296">
        <v>45733</v>
      </c>
      <c r="B461" s="215" t="s">
        <v>968</v>
      </c>
      <c r="C461" s="215" t="s">
        <v>1539</v>
      </c>
      <c r="D461" s="215" t="s">
        <v>121</v>
      </c>
      <c r="E461" s="222">
        <v>12690</v>
      </c>
      <c r="F461" s="283">
        <f t="shared" si="14"/>
        <v>21.892672424203738</v>
      </c>
      <c r="G461" s="77">
        <v>579.64599999999996</v>
      </c>
      <c r="H461" s="215" t="s">
        <v>673</v>
      </c>
      <c r="I461" s="215" t="s">
        <v>1097</v>
      </c>
      <c r="J461" s="215" t="s">
        <v>100</v>
      </c>
      <c r="K461" s="215" t="s">
        <v>1494</v>
      </c>
      <c r="L461" s="215" t="s">
        <v>159</v>
      </c>
      <c r="M461" s="284"/>
      <c r="N461" s="77"/>
      <c r="O461" s="77"/>
    </row>
    <row r="462" spans="1:15">
      <c r="A462" s="296">
        <v>45733</v>
      </c>
      <c r="B462" s="215" t="s">
        <v>969</v>
      </c>
      <c r="C462" s="215" t="s">
        <v>155</v>
      </c>
      <c r="D462" s="215" t="s">
        <v>122</v>
      </c>
      <c r="E462" s="222">
        <v>20000</v>
      </c>
      <c r="F462" s="283">
        <f t="shared" si="14"/>
        <v>34.503817847444822</v>
      </c>
      <c r="G462" s="77">
        <v>579.64599999999996</v>
      </c>
      <c r="H462" s="215" t="s">
        <v>673</v>
      </c>
      <c r="I462" s="215" t="s">
        <v>1098</v>
      </c>
      <c r="J462" s="215" t="s">
        <v>100</v>
      </c>
      <c r="K462" s="215" t="s">
        <v>1494</v>
      </c>
      <c r="L462" s="215" t="s">
        <v>159</v>
      </c>
      <c r="M462" s="284"/>
      <c r="N462" s="77"/>
      <c r="O462" s="77"/>
    </row>
    <row r="463" spans="1:15">
      <c r="A463" s="296">
        <v>45733</v>
      </c>
      <c r="B463" s="215" t="s">
        <v>970</v>
      </c>
      <c r="C463" s="215" t="s">
        <v>155</v>
      </c>
      <c r="D463" s="215" t="s">
        <v>120</v>
      </c>
      <c r="E463" s="222">
        <v>30000</v>
      </c>
      <c r="F463" s="283">
        <f t="shared" si="14"/>
        <v>51.755726771167232</v>
      </c>
      <c r="G463" s="77">
        <v>579.64599999999996</v>
      </c>
      <c r="H463" s="215" t="s">
        <v>673</v>
      </c>
      <c r="I463" s="215" t="s">
        <v>1099</v>
      </c>
      <c r="J463" s="215" t="s">
        <v>100</v>
      </c>
      <c r="K463" s="215" t="s">
        <v>1494</v>
      </c>
      <c r="L463" s="215" t="s">
        <v>159</v>
      </c>
      <c r="M463" s="284"/>
      <c r="N463" s="77"/>
      <c r="O463" s="77"/>
    </row>
    <row r="464" spans="1:15">
      <c r="A464" s="296">
        <v>45733</v>
      </c>
      <c r="B464" s="215" t="s">
        <v>971</v>
      </c>
      <c r="C464" s="215" t="s">
        <v>155</v>
      </c>
      <c r="D464" s="215" t="s">
        <v>124</v>
      </c>
      <c r="E464" s="222">
        <v>55000</v>
      </c>
      <c r="F464" s="283">
        <f t="shared" si="14"/>
        <v>94.885499080473267</v>
      </c>
      <c r="G464" s="77">
        <v>579.64599999999996</v>
      </c>
      <c r="H464" s="215" t="s">
        <v>673</v>
      </c>
      <c r="I464" s="215" t="s">
        <v>1100</v>
      </c>
      <c r="J464" s="215" t="s">
        <v>100</v>
      </c>
      <c r="K464" s="215" t="s">
        <v>1494</v>
      </c>
      <c r="L464" s="215" t="s">
        <v>159</v>
      </c>
      <c r="M464" s="284"/>
      <c r="N464" s="77"/>
      <c r="O464" s="77"/>
    </row>
    <row r="465" spans="1:15">
      <c r="A465" s="296">
        <v>45733</v>
      </c>
      <c r="B465" s="215" t="s">
        <v>972</v>
      </c>
      <c r="C465" s="215" t="s">
        <v>155</v>
      </c>
      <c r="D465" s="215" t="s">
        <v>123</v>
      </c>
      <c r="E465" s="222">
        <v>10000</v>
      </c>
      <c r="F465" s="283">
        <f t="shared" si="14"/>
        <v>17.251908923722411</v>
      </c>
      <c r="G465" s="77">
        <v>579.64599999999996</v>
      </c>
      <c r="H465" s="215" t="s">
        <v>673</v>
      </c>
      <c r="I465" s="215" t="s">
        <v>1101</v>
      </c>
      <c r="J465" s="215" t="s">
        <v>100</v>
      </c>
      <c r="K465" s="215" t="s">
        <v>1494</v>
      </c>
      <c r="L465" s="215" t="s">
        <v>159</v>
      </c>
      <c r="M465" s="284"/>
      <c r="N465" s="77"/>
      <c r="O465" s="215"/>
    </row>
    <row r="466" spans="1:15">
      <c r="A466" s="296">
        <v>45733</v>
      </c>
      <c r="B466" s="215" t="s">
        <v>973</v>
      </c>
      <c r="C466" s="215" t="s">
        <v>155</v>
      </c>
      <c r="D466" s="215" t="s">
        <v>120</v>
      </c>
      <c r="E466" s="222">
        <v>10000</v>
      </c>
      <c r="F466" s="283">
        <f t="shared" si="14"/>
        <v>17.251908923722411</v>
      </c>
      <c r="G466" s="77">
        <v>579.64599999999996</v>
      </c>
      <c r="H466" s="215" t="s">
        <v>673</v>
      </c>
      <c r="I466" s="215" t="s">
        <v>1102</v>
      </c>
      <c r="J466" s="215" t="s">
        <v>100</v>
      </c>
      <c r="K466" s="215" t="s">
        <v>1494</v>
      </c>
      <c r="L466" s="215" t="s">
        <v>159</v>
      </c>
      <c r="M466" s="284"/>
      <c r="N466" s="77"/>
      <c r="O466" s="77"/>
    </row>
    <row r="467" spans="1:15">
      <c r="A467" s="296">
        <v>45733</v>
      </c>
      <c r="B467" s="215" t="s">
        <v>974</v>
      </c>
      <c r="C467" s="215" t="s">
        <v>155</v>
      </c>
      <c r="D467" s="215" t="s">
        <v>124</v>
      </c>
      <c r="E467" s="222">
        <v>5000</v>
      </c>
      <c r="F467" s="283">
        <f t="shared" si="14"/>
        <v>8.6259544618612054</v>
      </c>
      <c r="G467" s="77">
        <v>579.64599999999996</v>
      </c>
      <c r="H467" s="215" t="s">
        <v>673</v>
      </c>
      <c r="I467" s="215" t="s">
        <v>1103</v>
      </c>
      <c r="J467" s="215" t="s">
        <v>100</v>
      </c>
      <c r="K467" s="215" t="s">
        <v>1494</v>
      </c>
      <c r="L467" s="215" t="s">
        <v>159</v>
      </c>
      <c r="M467" s="284"/>
      <c r="N467" s="77"/>
      <c r="O467" s="77"/>
    </row>
    <row r="468" spans="1:15">
      <c r="A468" s="296">
        <v>45733</v>
      </c>
      <c r="B468" s="215" t="s">
        <v>1360</v>
      </c>
      <c r="C468" s="215" t="s">
        <v>184</v>
      </c>
      <c r="D468" s="215" t="s">
        <v>524</v>
      </c>
      <c r="E468" s="222">
        <v>120000</v>
      </c>
      <c r="F468" s="283">
        <f t="shared" si="14"/>
        <v>207.02290708466893</v>
      </c>
      <c r="G468" s="77">
        <v>579.64599999999996</v>
      </c>
      <c r="H468" s="215" t="s">
        <v>195</v>
      </c>
      <c r="I468" s="215" t="s">
        <v>1361</v>
      </c>
      <c r="J468" s="215" t="s">
        <v>100</v>
      </c>
      <c r="K468" s="215" t="s">
        <v>1494</v>
      </c>
      <c r="L468" s="215" t="s">
        <v>159</v>
      </c>
      <c r="M468" s="284"/>
      <c r="N468" s="77"/>
      <c r="O468" s="77"/>
    </row>
    <row r="469" spans="1:15">
      <c r="A469" s="296">
        <v>45733</v>
      </c>
      <c r="B469" s="215" t="s">
        <v>1390</v>
      </c>
      <c r="C469" s="215" t="s">
        <v>184</v>
      </c>
      <c r="D469" s="215" t="s">
        <v>208</v>
      </c>
      <c r="E469" s="222">
        <v>90000</v>
      </c>
      <c r="F469" s="283">
        <f t="shared" si="14"/>
        <v>155.26718031350171</v>
      </c>
      <c r="G469" s="77">
        <v>579.64599999999996</v>
      </c>
      <c r="H469" s="215" t="s">
        <v>198</v>
      </c>
      <c r="I469" s="215" t="s">
        <v>1391</v>
      </c>
      <c r="J469" s="215" t="s">
        <v>100</v>
      </c>
      <c r="K469" s="215" t="s">
        <v>1494</v>
      </c>
      <c r="L469" s="215" t="s">
        <v>159</v>
      </c>
      <c r="M469" s="284"/>
      <c r="N469" s="77"/>
      <c r="O469" s="77"/>
    </row>
    <row r="470" spans="1:15">
      <c r="A470" s="296">
        <v>45733</v>
      </c>
      <c r="B470" s="215" t="s">
        <v>1420</v>
      </c>
      <c r="C470" s="215" t="s">
        <v>184</v>
      </c>
      <c r="D470" s="215" t="s">
        <v>120</v>
      </c>
      <c r="E470" s="222">
        <v>190000</v>
      </c>
      <c r="F470" s="283">
        <f t="shared" si="14"/>
        <v>327.78626955072582</v>
      </c>
      <c r="G470" s="222">
        <v>579.64599999999996</v>
      </c>
      <c r="H470" s="215" t="s">
        <v>505</v>
      </c>
      <c r="I470" s="215" t="s">
        <v>1421</v>
      </c>
      <c r="J470" s="215" t="s">
        <v>100</v>
      </c>
      <c r="K470" s="215" t="s">
        <v>211</v>
      </c>
      <c r="L470" s="215" t="s">
        <v>159</v>
      </c>
      <c r="M470" s="284"/>
      <c r="N470" s="77"/>
      <c r="O470" s="77"/>
    </row>
    <row r="471" spans="1:15">
      <c r="A471" s="296">
        <v>45733</v>
      </c>
      <c r="B471" s="215" t="s">
        <v>1441</v>
      </c>
      <c r="C471" s="215" t="s">
        <v>184</v>
      </c>
      <c r="D471" s="215" t="s">
        <v>208</v>
      </c>
      <c r="E471" s="222">
        <v>90000</v>
      </c>
      <c r="F471" s="283">
        <f t="shared" si="14"/>
        <v>155.26718031350171</v>
      </c>
      <c r="G471" s="77">
        <v>579.64599999999996</v>
      </c>
      <c r="H471" s="215" t="s">
        <v>223</v>
      </c>
      <c r="I471" s="215" t="s">
        <v>1442</v>
      </c>
      <c r="J471" s="215" t="s">
        <v>100</v>
      </c>
      <c r="K471" s="215" t="s">
        <v>1494</v>
      </c>
      <c r="L471" s="215" t="s">
        <v>159</v>
      </c>
      <c r="M471" s="284"/>
      <c r="N471" s="77"/>
      <c r="O471" s="77"/>
    </row>
    <row r="472" spans="1:15">
      <c r="A472" s="296">
        <v>45734</v>
      </c>
      <c r="B472" s="215" t="s">
        <v>1573</v>
      </c>
      <c r="C472" s="215" t="s">
        <v>184</v>
      </c>
      <c r="D472" s="215" t="s">
        <v>180</v>
      </c>
      <c r="E472" s="222">
        <v>45000</v>
      </c>
      <c r="F472" s="283">
        <f t="shared" si="14"/>
        <v>77.633590156750856</v>
      </c>
      <c r="G472" s="77">
        <v>579.64599999999996</v>
      </c>
      <c r="H472" s="215" t="s">
        <v>181</v>
      </c>
      <c r="I472" s="215" t="s">
        <v>1286</v>
      </c>
      <c r="J472" s="215" t="s">
        <v>100</v>
      </c>
      <c r="K472" s="215" t="s">
        <v>1494</v>
      </c>
      <c r="L472" s="215" t="s">
        <v>159</v>
      </c>
      <c r="M472" s="284"/>
      <c r="N472" s="77"/>
      <c r="O472" s="77"/>
    </row>
    <row r="473" spans="1:15">
      <c r="A473" s="296">
        <v>45734</v>
      </c>
      <c r="B473" s="215" t="s">
        <v>1569</v>
      </c>
      <c r="C473" s="215" t="s">
        <v>179</v>
      </c>
      <c r="D473" s="215" t="s">
        <v>180</v>
      </c>
      <c r="E473" s="222">
        <v>6000</v>
      </c>
      <c r="F473" s="283">
        <f t="shared" si="14"/>
        <v>10.351145354233447</v>
      </c>
      <c r="G473" s="77">
        <v>579.64599999999996</v>
      </c>
      <c r="H473" s="215" t="s">
        <v>181</v>
      </c>
      <c r="I473" s="215" t="s">
        <v>1287</v>
      </c>
      <c r="J473" s="215" t="s">
        <v>100</v>
      </c>
      <c r="K473" s="215" t="s">
        <v>1494</v>
      </c>
      <c r="L473" s="215" t="s">
        <v>159</v>
      </c>
      <c r="M473" s="284"/>
      <c r="N473" s="77"/>
      <c r="O473" s="77"/>
    </row>
    <row r="474" spans="1:15">
      <c r="A474" s="296">
        <v>45734</v>
      </c>
      <c r="B474" s="215" t="s">
        <v>1566</v>
      </c>
      <c r="C474" s="215" t="s">
        <v>184</v>
      </c>
      <c r="D474" s="215" t="s">
        <v>124</v>
      </c>
      <c r="E474" s="222">
        <v>30000</v>
      </c>
      <c r="F474" s="283">
        <f t="shared" si="14"/>
        <v>51.755726771167232</v>
      </c>
      <c r="G474" s="222">
        <v>579.64599999999996</v>
      </c>
      <c r="H474" s="215" t="s">
        <v>340</v>
      </c>
      <c r="I474" s="215" t="s">
        <v>1315</v>
      </c>
      <c r="J474" s="215" t="s">
        <v>100</v>
      </c>
      <c r="K474" s="215" t="s">
        <v>211</v>
      </c>
      <c r="L474" s="215" t="s">
        <v>159</v>
      </c>
      <c r="M474" s="284"/>
      <c r="N474" s="77"/>
      <c r="O474" s="77"/>
    </row>
    <row r="475" spans="1:15">
      <c r="A475" s="296">
        <v>45734</v>
      </c>
      <c r="B475" s="215" t="s">
        <v>1560</v>
      </c>
      <c r="C475" s="215" t="s">
        <v>179</v>
      </c>
      <c r="D475" s="215" t="s">
        <v>124</v>
      </c>
      <c r="E475" s="222">
        <v>7000</v>
      </c>
      <c r="F475" s="283">
        <f t="shared" si="14"/>
        <v>12.076336246605688</v>
      </c>
      <c r="G475" s="222">
        <v>579.64599999999996</v>
      </c>
      <c r="H475" s="215" t="s">
        <v>340</v>
      </c>
      <c r="I475" s="215" t="s">
        <v>1316</v>
      </c>
      <c r="J475" s="215" t="s">
        <v>100</v>
      </c>
      <c r="K475" s="215" t="s">
        <v>211</v>
      </c>
      <c r="L475" s="215" t="s">
        <v>159</v>
      </c>
      <c r="M475" s="284"/>
      <c r="N475" s="77"/>
      <c r="O475" s="77"/>
    </row>
    <row r="476" spans="1:15">
      <c r="A476" s="296">
        <v>45734</v>
      </c>
      <c r="B476" s="215" t="s">
        <v>1407</v>
      </c>
      <c r="C476" s="215" t="s">
        <v>179</v>
      </c>
      <c r="D476" s="215" t="s">
        <v>540</v>
      </c>
      <c r="E476" s="222">
        <v>7000</v>
      </c>
      <c r="F476" s="283">
        <f t="shared" si="14"/>
        <v>12.076336246605688</v>
      </c>
      <c r="G476" s="222">
        <v>579.64599999999996</v>
      </c>
      <c r="H476" s="215" t="s">
        <v>201</v>
      </c>
      <c r="I476" s="215" t="s">
        <v>1408</v>
      </c>
      <c r="J476" s="215" t="s">
        <v>100</v>
      </c>
      <c r="K476" s="215" t="s">
        <v>211</v>
      </c>
      <c r="L476" s="215" t="s">
        <v>159</v>
      </c>
      <c r="M476" s="284"/>
      <c r="N476" s="77"/>
      <c r="O476" s="77"/>
    </row>
    <row r="477" spans="1:15">
      <c r="A477" s="296">
        <v>45734</v>
      </c>
      <c r="B477" s="215" t="s">
        <v>1525</v>
      </c>
      <c r="C477" s="215" t="s">
        <v>179</v>
      </c>
      <c r="D477" s="215" t="s">
        <v>120</v>
      </c>
      <c r="E477" s="222">
        <v>21000</v>
      </c>
      <c r="F477" s="283">
        <f t="shared" si="14"/>
        <v>36.229008739817061</v>
      </c>
      <c r="G477" s="222">
        <v>579.64599999999996</v>
      </c>
      <c r="H477" s="215" t="s">
        <v>201</v>
      </c>
      <c r="I477" s="215" t="s">
        <v>1104</v>
      </c>
      <c r="J477" s="215" t="s">
        <v>100</v>
      </c>
      <c r="K477" s="215" t="s">
        <v>211</v>
      </c>
      <c r="L477" s="215" t="s">
        <v>159</v>
      </c>
      <c r="M477" s="284"/>
      <c r="N477" s="77"/>
      <c r="O477" s="77"/>
    </row>
    <row r="478" spans="1:15">
      <c r="A478" s="296">
        <v>45734</v>
      </c>
      <c r="B478" s="215" t="s">
        <v>1526</v>
      </c>
      <c r="C478" s="215" t="s">
        <v>184</v>
      </c>
      <c r="D478" s="215" t="s">
        <v>120</v>
      </c>
      <c r="E478" s="222">
        <v>75000</v>
      </c>
      <c r="F478" s="283">
        <f t="shared" si="14"/>
        <v>129.38931692791809</v>
      </c>
      <c r="G478" s="222">
        <v>579.64599999999996</v>
      </c>
      <c r="H478" s="215" t="s">
        <v>201</v>
      </c>
      <c r="I478" s="215" t="s">
        <v>1105</v>
      </c>
      <c r="J478" s="215" t="s">
        <v>100</v>
      </c>
      <c r="K478" s="215" t="s">
        <v>211</v>
      </c>
      <c r="L478" s="215" t="s">
        <v>159</v>
      </c>
      <c r="M478" s="284"/>
      <c r="N478" s="77"/>
      <c r="O478" s="77"/>
    </row>
    <row r="479" spans="1:15">
      <c r="A479" s="296">
        <v>45734</v>
      </c>
      <c r="B479" s="215" t="s">
        <v>978</v>
      </c>
      <c r="C479" s="215" t="s">
        <v>179</v>
      </c>
      <c r="D479" s="215" t="s">
        <v>120</v>
      </c>
      <c r="E479" s="222">
        <v>21000</v>
      </c>
      <c r="F479" s="283">
        <f t="shared" si="14"/>
        <v>36.229008739817061</v>
      </c>
      <c r="G479" s="222">
        <v>579.64599999999996</v>
      </c>
      <c r="H479" s="215" t="s">
        <v>201</v>
      </c>
      <c r="I479" s="215" t="s">
        <v>1106</v>
      </c>
      <c r="J479" s="215" t="s">
        <v>100</v>
      </c>
      <c r="K479" s="215" t="s">
        <v>211</v>
      </c>
      <c r="L479" s="215" t="s">
        <v>159</v>
      </c>
      <c r="M479" s="284"/>
      <c r="N479" s="77"/>
      <c r="O479" s="77"/>
    </row>
    <row r="480" spans="1:15">
      <c r="A480" s="296">
        <v>45734</v>
      </c>
      <c r="B480" s="215" t="s">
        <v>1527</v>
      </c>
      <c r="C480" s="215" t="s">
        <v>184</v>
      </c>
      <c r="D480" s="215" t="s">
        <v>120</v>
      </c>
      <c r="E480" s="222">
        <v>50000</v>
      </c>
      <c r="F480" s="283">
        <f t="shared" si="14"/>
        <v>86.259544618612054</v>
      </c>
      <c r="G480" s="222">
        <v>579.64599999999996</v>
      </c>
      <c r="H480" s="215" t="s">
        <v>201</v>
      </c>
      <c r="I480" s="215" t="s">
        <v>1107</v>
      </c>
      <c r="J480" s="215" t="s">
        <v>100</v>
      </c>
      <c r="K480" s="215" t="s">
        <v>211</v>
      </c>
      <c r="L480" s="215" t="s">
        <v>159</v>
      </c>
      <c r="M480" s="284"/>
      <c r="N480" s="77"/>
      <c r="O480" s="77"/>
    </row>
    <row r="481" spans="1:15">
      <c r="A481" s="296">
        <v>45735</v>
      </c>
      <c r="B481" s="215" t="s">
        <v>1466</v>
      </c>
      <c r="C481" s="215" t="s">
        <v>184</v>
      </c>
      <c r="D481" s="215" t="s">
        <v>525</v>
      </c>
      <c r="E481" s="222">
        <v>30000</v>
      </c>
      <c r="F481" s="283">
        <f t="shared" si="14"/>
        <v>51.755726771167232</v>
      </c>
      <c r="G481" s="222">
        <v>579.64599999999996</v>
      </c>
      <c r="H481" s="215" t="s">
        <v>209</v>
      </c>
      <c r="I481" s="215" t="s">
        <v>1500</v>
      </c>
      <c r="J481" s="215" t="s">
        <v>100</v>
      </c>
      <c r="K481" s="215" t="s">
        <v>211</v>
      </c>
      <c r="L481" s="215" t="s">
        <v>159</v>
      </c>
      <c r="M481" s="285"/>
      <c r="N481" s="215"/>
      <c r="O481" s="77"/>
    </row>
    <row r="482" spans="1:15">
      <c r="A482" s="296">
        <v>45735</v>
      </c>
      <c r="B482" s="215" t="s">
        <v>980</v>
      </c>
      <c r="C482" s="215" t="s">
        <v>1539</v>
      </c>
      <c r="D482" s="215" t="s">
        <v>121</v>
      </c>
      <c r="E482" s="222">
        <v>19830</v>
      </c>
      <c r="F482" s="283">
        <f t="shared" si="14"/>
        <v>34.210535395741545</v>
      </c>
      <c r="G482" s="222">
        <v>579.64599999999996</v>
      </c>
      <c r="H482" s="215" t="s">
        <v>673</v>
      </c>
      <c r="I482" s="215" t="s">
        <v>1108</v>
      </c>
      <c r="J482" s="215" t="s">
        <v>100</v>
      </c>
      <c r="K482" s="215" t="s">
        <v>211</v>
      </c>
      <c r="L482" s="215" t="s">
        <v>159</v>
      </c>
      <c r="M482" s="284"/>
      <c r="N482" s="77"/>
      <c r="O482" s="77"/>
    </row>
    <row r="483" spans="1:15">
      <c r="A483" s="296">
        <v>45735</v>
      </c>
      <c r="B483" s="215" t="s">
        <v>981</v>
      </c>
      <c r="C483" s="215" t="s">
        <v>1538</v>
      </c>
      <c r="D483" s="215" t="s">
        <v>121</v>
      </c>
      <c r="E483" s="222">
        <v>300000</v>
      </c>
      <c r="F483" s="283">
        <f t="shared" si="14"/>
        <v>517.55726771167235</v>
      </c>
      <c r="G483" s="222">
        <v>579.64599999999996</v>
      </c>
      <c r="H483" s="215" t="s">
        <v>673</v>
      </c>
      <c r="I483" s="215" t="s">
        <v>1109</v>
      </c>
      <c r="J483" s="215" t="s">
        <v>100</v>
      </c>
      <c r="K483" s="215" t="s">
        <v>211</v>
      </c>
      <c r="L483" s="215" t="s">
        <v>159</v>
      </c>
      <c r="M483" s="284"/>
      <c r="N483" s="77"/>
      <c r="O483" s="77"/>
    </row>
    <row r="484" spans="1:15">
      <c r="A484" s="296">
        <v>45735</v>
      </c>
      <c r="B484" s="215" t="s">
        <v>1552</v>
      </c>
      <c r="C484" s="215" t="s">
        <v>184</v>
      </c>
      <c r="D484" s="215" t="s">
        <v>124</v>
      </c>
      <c r="E484" s="222">
        <v>120000</v>
      </c>
      <c r="F484" s="283">
        <f t="shared" si="14"/>
        <v>207.02290708466893</v>
      </c>
      <c r="G484" s="222">
        <v>579.64599999999996</v>
      </c>
      <c r="H484" s="215" t="s">
        <v>192</v>
      </c>
      <c r="I484" s="215" t="s">
        <v>1256</v>
      </c>
      <c r="J484" s="215" t="s">
        <v>100</v>
      </c>
      <c r="K484" s="215" t="s">
        <v>211</v>
      </c>
      <c r="L484" s="215" t="s">
        <v>159</v>
      </c>
      <c r="M484" s="284"/>
      <c r="N484" s="77"/>
      <c r="O484" s="77"/>
    </row>
    <row r="485" spans="1:15">
      <c r="A485" s="296">
        <v>45735</v>
      </c>
      <c r="B485" s="215" t="s">
        <v>1289</v>
      </c>
      <c r="C485" s="215" t="s">
        <v>329</v>
      </c>
      <c r="D485" s="215" t="s">
        <v>180</v>
      </c>
      <c r="E485" s="222">
        <v>10000</v>
      </c>
      <c r="F485" s="283">
        <f t="shared" si="14"/>
        <v>17.251908923722411</v>
      </c>
      <c r="G485" s="222">
        <v>579.64599999999996</v>
      </c>
      <c r="H485" s="215" t="s">
        <v>181</v>
      </c>
      <c r="I485" s="215" t="s">
        <v>1291</v>
      </c>
      <c r="J485" s="215" t="s">
        <v>100</v>
      </c>
      <c r="K485" s="215" t="s">
        <v>211</v>
      </c>
      <c r="L485" s="215" t="s">
        <v>159</v>
      </c>
      <c r="M485" s="284"/>
      <c r="N485" s="77"/>
      <c r="O485" s="77"/>
    </row>
    <row r="486" spans="1:15">
      <c r="A486" s="296">
        <v>45735</v>
      </c>
      <c r="B486" s="215" t="s">
        <v>1409</v>
      </c>
      <c r="C486" s="215" t="s">
        <v>184</v>
      </c>
      <c r="D486" s="215" t="s">
        <v>120</v>
      </c>
      <c r="E486" s="222">
        <v>30000</v>
      </c>
      <c r="F486" s="283">
        <f t="shared" si="14"/>
        <v>51.755726771167232</v>
      </c>
      <c r="G486" s="222">
        <v>579.64599999999996</v>
      </c>
      <c r="H486" s="215" t="s">
        <v>201</v>
      </c>
      <c r="I486" s="215" t="s">
        <v>1410</v>
      </c>
      <c r="J486" s="215" t="s">
        <v>100</v>
      </c>
      <c r="K486" s="215" t="s">
        <v>211</v>
      </c>
      <c r="L486" s="215" t="s">
        <v>159</v>
      </c>
      <c r="M486" s="284"/>
      <c r="N486" s="77"/>
      <c r="O486" s="77"/>
    </row>
    <row r="487" spans="1:15">
      <c r="A487" s="296">
        <v>45736</v>
      </c>
      <c r="B487" s="215" t="s">
        <v>1239</v>
      </c>
      <c r="C487" s="215" t="s">
        <v>414</v>
      </c>
      <c r="D487" s="215" t="s">
        <v>124</v>
      </c>
      <c r="E487" s="222">
        <v>31000</v>
      </c>
      <c r="F487" s="283">
        <f t="shared" si="14"/>
        <v>53.480917663539472</v>
      </c>
      <c r="G487" s="222">
        <v>579.64599999999996</v>
      </c>
      <c r="H487" s="215" t="s">
        <v>156</v>
      </c>
      <c r="I487" s="215" t="s">
        <v>1240</v>
      </c>
      <c r="J487" s="215" t="s">
        <v>100</v>
      </c>
      <c r="K487" s="215" t="s">
        <v>211</v>
      </c>
      <c r="L487" s="215" t="s">
        <v>159</v>
      </c>
      <c r="M487" s="285"/>
      <c r="N487" s="215"/>
      <c r="O487" s="77"/>
    </row>
    <row r="488" spans="1:15">
      <c r="A488" s="296">
        <v>45736</v>
      </c>
      <c r="B488" s="215" t="s">
        <v>726</v>
      </c>
      <c r="C488" s="215" t="s">
        <v>1539</v>
      </c>
      <c r="D488" s="215" t="s">
        <v>121</v>
      </c>
      <c r="E488" s="222">
        <f>33017-31000</f>
        <v>2017</v>
      </c>
      <c r="F488" s="283">
        <f t="shared" si="14"/>
        <v>3.4797100299148105</v>
      </c>
      <c r="G488" s="222">
        <v>579.64599999999996</v>
      </c>
      <c r="H488" s="215" t="s">
        <v>156</v>
      </c>
      <c r="I488" s="215" t="s">
        <v>1241</v>
      </c>
      <c r="J488" s="215" t="s">
        <v>100</v>
      </c>
      <c r="K488" s="215" t="s">
        <v>211</v>
      </c>
      <c r="L488" s="215" t="s">
        <v>159</v>
      </c>
      <c r="M488" s="285"/>
      <c r="N488" s="215"/>
      <c r="O488" s="77"/>
    </row>
    <row r="489" spans="1:15">
      <c r="A489" s="296">
        <v>45736</v>
      </c>
      <c r="B489" s="215" t="s">
        <v>1560</v>
      </c>
      <c r="C489" s="215" t="s">
        <v>179</v>
      </c>
      <c r="D489" s="215" t="s">
        <v>124</v>
      </c>
      <c r="E489" s="222">
        <v>6000</v>
      </c>
      <c r="F489" s="283">
        <f t="shared" si="14"/>
        <v>10.351145354233447</v>
      </c>
      <c r="G489" s="222">
        <v>579.64599999999996</v>
      </c>
      <c r="H489" s="215" t="s">
        <v>340</v>
      </c>
      <c r="I489" s="215" t="s">
        <v>1320</v>
      </c>
      <c r="J489" s="215" t="s">
        <v>100</v>
      </c>
      <c r="K489" s="215" t="s">
        <v>211</v>
      </c>
      <c r="L489" s="215" t="s">
        <v>159</v>
      </c>
      <c r="M489" s="284"/>
      <c r="N489" s="77"/>
      <c r="O489" s="77"/>
    </row>
    <row r="490" spans="1:15">
      <c r="A490" s="296">
        <v>45736</v>
      </c>
      <c r="B490" s="215" t="s">
        <v>968</v>
      </c>
      <c r="C490" s="215" t="s">
        <v>1539</v>
      </c>
      <c r="D490" s="215" t="s">
        <v>121</v>
      </c>
      <c r="E490" s="222">
        <v>6320</v>
      </c>
      <c r="F490" s="283">
        <f t="shared" si="14"/>
        <v>10.903206439792564</v>
      </c>
      <c r="G490" s="222">
        <v>579.64599999999996</v>
      </c>
      <c r="H490" s="215" t="s">
        <v>351</v>
      </c>
      <c r="I490" s="215" t="s">
        <v>1110</v>
      </c>
      <c r="J490" s="215" t="s">
        <v>100</v>
      </c>
      <c r="K490" s="215" t="s">
        <v>211</v>
      </c>
      <c r="L490" s="215" t="s">
        <v>159</v>
      </c>
      <c r="M490" s="284"/>
      <c r="N490" s="77"/>
      <c r="O490" s="77"/>
    </row>
    <row r="491" spans="1:15">
      <c r="A491" s="296">
        <v>45737</v>
      </c>
      <c r="B491" s="215" t="s">
        <v>980</v>
      </c>
      <c r="C491" s="215" t="s">
        <v>1539</v>
      </c>
      <c r="D491" s="215" t="s">
        <v>121</v>
      </c>
      <c r="E491" s="222">
        <v>14640</v>
      </c>
      <c r="F491" s="283">
        <f t="shared" ref="F491:F554" si="15">+E491/G491</f>
        <v>25.256794664329611</v>
      </c>
      <c r="G491" s="222">
        <v>579.64599999999996</v>
      </c>
      <c r="H491" s="215" t="s">
        <v>673</v>
      </c>
      <c r="I491" s="215" t="s">
        <v>1111</v>
      </c>
      <c r="J491" s="215" t="s">
        <v>100</v>
      </c>
      <c r="K491" s="215" t="s">
        <v>211</v>
      </c>
      <c r="L491" s="215" t="s">
        <v>159</v>
      </c>
      <c r="M491" s="284"/>
      <c r="N491" s="77"/>
      <c r="O491" s="77"/>
    </row>
    <row r="492" spans="1:15">
      <c r="A492" s="296">
        <v>45737</v>
      </c>
      <c r="B492" s="215" t="s">
        <v>1574</v>
      </c>
      <c r="C492" s="215" t="s">
        <v>184</v>
      </c>
      <c r="D492" s="215" t="s">
        <v>180</v>
      </c>
      <c r="E492" s="222">
        <v>70000</v>
      </c>
      <c r="F492" s="283">
        <f t="shared" si="15"/>
        <v>120.76336246605688</v>
      </c>
      <c r="G492" s="222">
        <v>579.64599999999996</v>
      </c>
      <c r="H492" s="215" t="s">
        <v>181</v>
      </c>
      <c r="I492" s="215" t="s">
        <v>1293</v>
      </c>
      <c r="J492" s="215" t="s">
        <v>100</v>
      </c>
      <c r="K492" s="215" t="s">
        <v>211</v>
      </c>
      <c r="L492" s="215" t="s">
        <v>159</v>
      </c>
      <c r="M492" s="284"/>
      <c r="N492" s="77"/>
      <c r="O492" s="77"/>
    </row>
    <row r="493" spans="1:15">
      <c r="A493" s="296">
        <v>45737</v>
      </c>
      <c r="B493" s="215" t="s">
        <v>1575</v>
      </c>
      <c r="C493" s="215" t="s">
        <v>179</v>
      </c>
      <c r="D493" s="215" t="s">
        <v>180</v>
      </c>
      <c r="E493" s="222">
        <v>9000</v>
      </c>
      <c r="F493" s="283">
        <f t="shared" si="15"/>
        <v>15.526718031350169</v>
      </c>
      <c r="G493" s="222">
        <v>579.64599999999996</v>
      </c>
      <c r="H493" s="215" t="s">
        <v>181</v>
      </c>
      <c r="I493" s="215" t="s">
        <v>1294</v>
      </c>
      <c r="J493" s="215" t="s">
        <v>100</v>
      </c>
      <c r="K493" s="215" t="s">
        <v>211</v>
      </c>
      <c r="L493" s="215" t="s">
        <v>159</v>
      </c>
      <c r="M493" s="284"/>
      <c r="N493" s="77"/>
      <c r="O493" s="77"/>
    </row>
    <row r="494" spans="1:15">
      <c r="A494" s="296">
        <v>45737</v>
      </c>
      <c r="B494" s="215" t="s">
        <v>1563</v>
      </c>
      <c r="C494" s="215" t="s">
        <v>184</v>
      </c>
      <c r="D494" s="215" t="s">
        <v>124</v>
      </c>
      <c r="E494" s="222">
        <v>70000</v>
      </c>
      <c r="F494" s="283">
        <f t="shared" si="15"/>
        <v>120.76336246605688</v>
      </c>
      <c r="G494" s="222">
        <v>579.64599999999996</v>
      </c>
      <c r="H494" s="215" t="s">
        <v>340</v>
      </c>
      <c r="I494" s="215" t="s">
        <v>1321</v>
      </c>
      <c r="J494" s="215" t="s">
        <v>100</v>
      </c>
      <c r="K494" s="215" t="s">
        <v>211</v>
      </c>
      <c r="L494" s="215" t="s">
        <v>159</v>
      </c>
      <c r="M494" s="284"/>
      <c r="N494" s="77"/>
      <c r="O494" s="77"/>
    </row>
    <row r="495" spans="1:15">
      <c r="A495" s="296">
        <v>45737</v>
      </c>
      <c r="B495" s="215" t="s">
        <v>861</v>
      </c>
      <c r="C495" s="215" t="s">
        <v>179</v>
      </c>
      <c r="D495" s="215" t="s">
        <v>120</v>
      </c>
      <c r="E495" s="222">
        <v>7000</v>
      </c>
      <c r="F495" s="283">
        <f t="shared" si="15"/>
        <v>12.076336246605688</v>
      </c>
      <c r="G495" s="222">
        <v>579.64599999999996</v>
      </c>
      <c r="H495" s="215" t="s">
        <v>201</v>
      </c>
      <c r="I495" s="215" t="s">
        <v>1411</v>
      </c>
      <c r="J495" s="215" t="s">
        <v>100</v>
      </c>
      <c r="K495" s="215" t="s">
        <v>211</v>
      </c>
      <c r="L495" s="215" t="s">
        <v>159</v>
      </c>
      <c r="M495" s="284"/>
      <c r="N495" s="77"/>
      <c r="O495" s="77"/>
    </row>
    <row r="496" spans="1:15">
      <c r="A496" s="296">
        <v>45738</v>
      </c>
      <c r="B496" s="215" t="s">
        <v>1468</v>
      </c>
      <c r="C496" s="215" t="s">
        <v>184</v>
      </c>
      <c r="D496" s="215" t="s">
        <v>525</v>
      </c>
      <c r="E496" s="222">
        <v>11800</v>
      </c>
      <c r="F496" s="283">
        <f t="shared" si="15"/>
        <v>20.357252529992444</v>
      </c>
      <c r="G496" s="222">
        <v>579.64599999999996</v>
      </c>
      <c r="H496" s="215" t="s">
        <v>209</v>
      </c>
      <c r="I496" s="215" t="s">
        <v>1501</v>
      </c>
      <c r="J496" s="215" t="s">
        <v>100</v>
      </c>
      <c r="K496" s="215" t="s">
        <v>211</v>
      </c>
      <c r="L496" s="215" t="s">
        <v>159</v>
      </c>
      <c r="M496" s="285"/>
      <c r="N496" s="215"/>
      <c r="O496" s="77"/>
    </row>
    <row r="497" spans="1:15">
      <c r="A497" s="296">
        <v>45738</v>
      </c>
      <c r="B497" s="215" t="s">
        <v>1259</v>
      </c>
      <c r="C497" s="215" t="s">
        <v>414</v>
      </c>
      <c r="D497" s="215" t="s">
        <v>124</v>
      </c>
      <c r="E497" s="222">
        <v>90100</v>
      </c>
      <c r="F497" s="283">
        <f t="shared" si="15"/>
        <v>155.43969940273894</v>
      </c>
      <c r="G497" s="222">
        <v>579.64599999999996</v>
      </c>
      <c r="H497" s="215" t="s">
        <v>192</v>
      </c>
      <c r="I497" s="215" t="s">
        <v>1260</v>
      </c>
      <c r="J497" s="215" t="s">
        <v>100</v>
      </c>
      <c r="K497" s="215" t="s">
        <v>211</v>
      </c>
      <c r="L497" s="215" t="s">
        <v>159</v>
      </c>
      <c r="M497" s="284"/>
      <c r="N497" s="77"/>
      <c r="O497" s="77"/>
    </row>
    <row r="498" spans="1:15">
      <c r="A498" s="296">
        <v>45738</v>
      </c>
      <c r="B498" s="215" t="s">
        <v>1545</v>
      </c>
      <c r="C498" s="215" t="s">
        <v>179</v>
      </c>
      <c r="D498" s="215" t="s">
        <v>124</v>
      </c>
      <c r="E498" s="222">
        <v>15000</v>
      </c>
      <c r="F498" s="283">
        <f t="shared" si="15"/>
        <v>25.877863385583616</v>
      </c>
      <c r="G498" s="222">
        <v>579.64599999999996</v>
      </c>
      <c r="H498" s="215" t="s">
        <v>192</v>
      </c>
      <c r="I498" s="215" t="s">
        <v>1261</v>
      </c>
      <c r="J498" s="215" t="s">
        <v>100</v>
      </c>
      <c r="K498" s="215" t="s">
        <v>211</v>
      </c>
      <c r="L498" s="215" t="s">
        <v>159</v>
      </c>
      <c r="M498" s="284"/>
      <c r="N498" s="77"/>
      <c r="O498" s="215"/>
    </row>
    <row r="499" spans="1:15">
      <c r="A499" s="296">
        <v>45738</v>
      </c>
      <c r="B499" s="215" t="s">
        <v>1545</v>
      </c>
      <c r="C499" s="215" t="s">
        <v>179</v>
      </c>
      <c r="D499" s="215" t="s">
        <v>124</v>
      </c>
      <c r="E499" s="222">
        <v>15000</v>
      </c>
      <c r="F499" s="283">
        <f t="shared" si="15"/>
        <v>25.877863385583616</v>
      </c>
      <c r="G499" s="222">
        <v>579.64599999999996</v>
      </c>
      <c r="H499" s="215" t="s">
        <v>192</v>
      </c>
      <c r="I499" s="215" t="s">
        <v>1262</v>
      </c>
      <c r="J499" s="215" t="s">
        <v>100</v>
      </c>
      <c r="K499" s="215" t="s">
        <v>211</v>
      </c>
      <c r="L499" s="215" t="s">
        <v>159</v>
      </c>
      <c r="M499" s="284"/>
      <c r="N499" s="77"/>
      <c r="O499" s="77"/>
    </row>
    <row r="500" spans="1:15">
      <c r="A500" s="296">
        <v>45738</v>
      </c>
      <c r="B500" s="215" t="s">
        <v>1546</v>
      </c>
      <c r="C500" s="215" t="s">
        <v>179</v>
      </c>
      <c r="D500" s="215" t="s">
        <v>124</v>
      </c>
      <c r="E500" s="222">
        <v>50000</v>
      </c>
      <c r="F500" s="283">
        <f t="shared" si="15"/>
        <v>86.259544618612054</v>
      </c>
      <c r="G500" s="222">
        <v>579.64599999999996</v>
      </c>
      <c r="H500" s="215" t="s">
        <v>192</v>
      </c>
      <c r="I500" s="215" t="s">
        <v>1263</v>
      </c>
      <c r="J500" s="215" t="s">
        <v>100</v>
      </c>
      <c r="K500" s="215" t="s">
        <v>211</v>
      </c>
      <c r="L500" s="215" t="s">
        <v>159</v>
      </c>
      <c r="M500" s="284"/>
      <c r="N500" s="77"/>
      <c r="O500" s="77"/>
    </row>
    <row r="501" spans="1:15">
      <c r="A501" s="296">
        <v>45738</v>
      </c>
      <c r="B501" s="215" t="s">
        <v>1541</v>
      </c>
      <c r="C501" s="215" t="s">
        <v>179</v>
      </c>
      <c r="D501" s="215" t="s">
        <v>124</v>
      </c>
      <c r="E501" s="222">
        <v>7000</v>
      </c>
      <c r="F501" s="283">
        <f t="shared" si="15"/>
        <v>12.076336246605688</v>
      </c>
      <c r="G501" s="222">
        <v>579.64599999999996</v>
      </c>
      <c r="H501" s="215" t="s">
        <v>192</v>
      </c>
      <c r="I501" s="215" t="s">
        <v>1264</v>
      </c>
      <c r="J501" s="215" t="s">
        <v>100</v>
      </c>
      <c r="K501" s="215" t="s">
        <v>211</v>
      </c>
      <c r="L501" s="215" t="s">
        <v>159</v>
      </c>
      <c r="M501" s="284"/>
      <c r="N501" s="77"/>
      <c r="O501" s="77"/>
    </row>
    <row r="502" spans="1:15">
      <c r="A502" s="296">
        <v>45738</v>
      </c>
      <c r="B502" s="215" t="s">
        <v>1555</v>
      </c>
      <c r="C502" s="215" t="s">
        <v>184</v>
      </c>
      <c r="D502" s="215" t="s">
        <v>124</v>
      </c>
      <c r="E502" s="222">
        <v>225000</v>
      </c>
      <c r="F502" s="283">
        <f t="shared" si="15"/>
        <v>388.16795078375424</v>
      </c>
      <c r="G502" s="222">
        <v>579.64599999999996</v>
      </c>
      <c r="H502" s="215" t="s">
        <v>351</v>
      </c>
      <c r="I502" s="215" t="s">
        <v>1340</v>
      </c>
      <c r="J502" s="215" t="s">
        <v>100</v>
      </c>
      <c r="K502" s="215" t="s">
        <v>211</v>
      </c>
      <c r="L502" s="215" t="s">
        <v>159</v>
      </c>
      <c r="M502" s="284"/>
      <c r="N502" s="77"/>
      <c r="O502" s="77"/>
    </row>
    <row r="503" spans="1:15">
      <c r="A503" s="296">
        <v>45738</v>
      </c>
      <c r="B503" s="215" t="s">
        <v>1553</v>
      </c>
      <c r="C503" s="215" t="s">
        <v>179</v>
      </c>
      <c r="D503" s="215" t="s">
        <v>124</v>
      </c>
      <c r="E503" s="222">
        <v>7000</v>
      </c>
      <c r="F503" s="283">
        <f t="shared" si="15"/>
        <v>12.076336246605688</v>
      </c>
      <c r="G503" s="222">
        <v>579.64599999999996</v>
      </c>
      <c r="H503" s="215" t="s">
        <v>351</v>
      </c>
      <c r="I503" s="215" t="s">
        <v>1341</v>
      </c>
      <c r="J503" s="215" t="s">
        <v>100</v>
      </c>
      <c r="K503" s="215" t="s">
        <v>211</v>
      </c>
      <c r="L503" s="215" t="s">
        <v>159</v>
      </c>
      <c r="M503" s="284"/>
      <c r="N503" s="77"/>
      <c r="O503" s="77"/>
    </row>
    <row r="504" spans="1:15">
      <c r="A504" s="296">
        <v>45738</v>
      </c>
      <c r="B504" s="215" t="s">
        <v>260</v>
      </c>
      <c r="C504" s="215" t="s">
        <v>184</v>
      </c>
      <c r="D504" s="215" t="s">
        <v>208</v>
      </c>
      <c r="E504" s="222">
        <v>9600</v>
      </c>
      <c r="F504" s="283">
        <f t="shared" si="15"/>
        <v>16.561832566773514</v>
      </c>
      <c r="G504" s="222">
        <v>579.64599999999996</v>
      </c>
      <c r="H504" s="215" t="s">
        <v>195</v>
      </c>
      <c r="I504" s="215" t="s">
        <v>1366</v>
      </c>
      <c r="J504" s="215" t="s">
        <v>100</v>
      </c>
      <c r="K504" s="215" t="s">
        <v>211</v>
      </c>
      <c r="L504" s="215" t="s">
        <v>159</v>
      </c>
      <c r="M504" s="284"/>
      <c r="N504" s="77"/>
      <c r="O504" s="77"/>
    </row>
    <row r="505" spans="1:15">
      <c r="A505" s="296">
        <v>45738</v>
      </c>
      <c r="B505" s="215" t="s">
        <v>604</v>
      </c>
      <c r="C505" s="215" t="s">
        <v>184</v>
      </c>
      <c r="D505" s="215" t="s">
        <v>208</v>
      </c>
      <c r="E505" s="222">
        <v>8900</v>
      </c>
      <c r="F505" s="283">
        <f t="shared" si="15"/>
        <v>15.354198942112946</v>
      </c>
      <c r="G505" s="222">
        <v>579.64599999999996</v>
      </c>
      <c r="H505" s="215" t="s">
        <v>198</v>
      </c>
      <c r="I505" s="215" t="s">
        <v>1394</v>
      </c>
      <c r="J505" s="215" t="s">
        <v>100</v>
      </c>
      <c r="K505" s="215" t="s">
        <v>211</v>
      </c>
      <c r="L505" s="215" t="s">
        <v>159</v>
      </c>
      <c r="M505" s="284"/>
      <c r="N505" s="77"/>
      <c r="O505" s="77"/>
    </row>
    <row r="506" spans="1:15">
      <c r="A506" s="296">
        <v>45738</v>
      </c>
      <c r="B506" s="215" t="s">
        <v>1412</v>
      </c>
      <c r="C506" s="215" t="s">
        <v>184</v>
      </c>
      <c r="D506" s="215" t="s">
        <v>120</v>
      </c>
      <c r="E506" s="222">
        <v>45000</v>
      </c>
      <c r="F506" s="283">
        <f t="shared" si="15"/>
        <v>77.633590156750856</v>
      </c>
      <c r="G506" s="77">
        <v>579.64599999999996</v>
      </c>
      <c r="H506" s="215" t="s">
        <v>201</v>
      </c>
      <c r="I506" s="215" t="s">
        <v>1413</v>
      </c>
      <c r="J506" s="215" t="s">
        <v>100</v>
      </c>
      <c r="K506" s="215" t="s">
        <v>1494</v>
      </c>
      <c r="L506" s="215" t="s">
        <v>159</v>
      </c>
      <c r="M506" s="284"/>
      <c r="N506" s="77"/>
      <c r="O506" s="77"/>
    </row>
    <row r="507" spans="1:15">
      <c r="A507" s="296">
        <v>45738</v>
      </c>
      <c r="B507" s="215" t="s">
        <v>1424</v>
      </c>
      <c r="C507" s="215" t="s">
        <v>204</v>
      </c>
      <c r="D507" s="215" t="s">
        <v>208</v>
      </c>
      <c r="E507" s="222">
        <v>25000</v>
      </c>
      <c r="F507" s="283">
        <f t="shared" si="15"/>
        <v>43.129772309306027</v>
      </c>
      <c r="G507" s="77">
        <v>579.64599999999996</v>
      </c>
      <c r="H507" s="215" t="s">
        <v>505</v>
      </c>
      <c r="I507" s="215" t="s">
        <v>1425</v>
      </c>
      <c r="J507" s="215" t="s">
        <v>100</v>
      </c>
      <c r="K507" s="215" t="s">
        <v>1494</v>
      </c>
      <c r="L507" s="215" t="s">
        <v>159</v>
      </c>
      <c r="M507" s="284"/>
      <c r="N507" s="77"/>
      <c r="O507" s="77"/>
    </row>
    <row r="508" spans="1:15">
      <c r="A508" s="296">
        <v>45738</v>
      </c>
      <c r="B508" s="215" t="s">
        <v>273</v>
      </c>
      <c r="C508" s="215" t="s">
        <v>184</v>
      </c>
      <c r="D508" s="215" t="s">
        <v>120</v>
      </c>
      <c r="E508" s="222">
        <v>19200</v>
      </c>
      <c r="F508" s="283">
        <f t="shared" si="15"/>
        <v>33.123665133547028</v>
      </c>
      <c r="G508" s="77">
        <v>579.64599999999996</v>
      </c>
      <c r="H508" s="215" t="s">
        <v>505</v>
      </c>
      <c r="I508" s="215" t="s">
        <v>1426</v>
      </c>
      <c r="J508" s="215" t="s">
        <v>100</v>
      </c>
      <c r="K508" s="215" t="s">
        <v>1494</v>
      </c>
      <c r="L508" s="215" t="s">
        <v>159</v>
      </c>
      <c r="M508" s="284"/>
      <c r="N508" s="77"/>
      <c r="O508" s="77"/>
    </row>
    <row r="509" spans="1:15">
      <c r="A509" s="296">
        <v>45738</v>
      </c>
      <c r="B509" s="215" t="s">
        <v>275</v>
      </c>
      <c r="C509" s="215" t="s">
        <v>184</v>
      </c>
      <c r="D509" s="215" t="s">
        <v>208</v>
      </c>
      <c r="E509" s="222">
        <v>9600</v>
      </c>
      <c r="F509" s="283">
        <f t="shared" si="15"/>
        <v>16.561832566773514</v>
      </c>
      <c r="G509" s="77">
        <v>579.64599999999996</v>
      </c>
      <c r="H509" s="215" t="s">
        <v>223</v>
      </c>
      <c r="I509" s="215" t="s">
        <v>1445</v>
      </c>
      <c r="J509" s="215" t="s">
        <v>100</v>
      </c>
      <c r="K509" s="215" t="s">
        <v>1494</v>
      </c>
      <c r="L509" s="215" t="s">
        <v>159</v>
      </c>
      <c r="M509" s="284"/>
      <c r="N509" s="77"/>
      <c r="O509" s="77"/>
    </row>
    <row r="510" spans="1:15">
      <c r="A510" s="296">
        <v>45739</v>
      </c>
      <c r="B510" s="215" t="s">
        <v>1579</v>
      </c>
      <c r="C510" s="215" t="s">
        <v>184</v>
      </c>
      <c r="D510" s="215" t="s">
        <v>208</v>
      </c>
      <c r="E510" s="222">
        <v>140000</v>
      </c>
      <c r="F510" s="283">
        <f t="shared" si="15"/>
        <v>241.52672493211375</v>
      </c>
      <c r="G510" s="77">
        <v>579.64599999999996</v>
      </c>
      <c r="H510" s="215" t="s">
        <v>192</v>
      </c>
      <c r="I510" s="215" t="s">
        <v>1265</v>
      </c>
      <c r="J510" s="215" t="s">
        <v>100</v>
      </c>
      <c r="K510" s="215" t="s">
        <v>1494</v>
      </c>
      <c r="L510" s="215" t="s">
        <v>159</v>
      </c>
      <c r="M510" s="284"/>
      <c r="N510" s="77"/>
      <c r="O510" s="77"/>
    </row>
    <row r="511" spans="1:15">
      <c r="A511" s="296">
        <v>45739</v>
      </c>
      <c r="B511" s="215" t="s">
        <v>1551</v>
      </c>
      <c r="C511" s="215" t="s">
        <v>184</v>
      </c>
      <c r="D511" s="215" t="s">
        <v>208</v>
      </c>
      <c r="E511" s="222">
        <v>140000</v>
      </c>
      <c r="F511" s="283">
        <f t="shared" si="15"/>
        <v>241.52672493211375</v>
      </c>
      <c r="G511" s="77">
        <v>579.64599999999996</v>
      </c>
      <c r="H511" s="215" t="s">
        <v>192</v>
      </c>
      <c r="I511" s="215" t="s">
        <v>1266</v>
      </c>
      <c r="J511" s="215" t="s">
        <v>100</v>
      </c>
      <c r="K511" s="215" t="s">
        <v>1494</v>
      </c>
      <c r="L511" s="215" t="s">
        <v>159</v>
      </c>
      <c r="M511" s="284"/>
      <c r="N511" s="77"/>
      <c r="O511" s="77"/>
    </row>
    <row r="512" spans="1:15">
      <c r="A512" s="296">
        <v>45740</v>
      </c>
      <c r="B512" s="215" t="s">
        <v>1470</v>
      </c>
      <c r="C512" s="215" t="s">
        <v>278</v>
      </c>
      <c r="D512" s="215" t="s">
        <v>525</v>
      </c>
      <c r="E512" s="222">
        <v>180000</v>
      </c>
      <c r="F512" s="283">
        <f t="shared" si="15"/>
        <v>310.53436062700342</v>
      </c>
      <c r="G512" s="222">
        <v>579.64599999999996</v>
      </c>
      <c r="H512" s="215" t="s">
        <v>209</v>
      </c>
      <c r="I512" s="215" t="s">
        <v>1502</v>
      </c>
      <c r="J512" s="215" t="s">
        <v>100</v>
      </c>
      <c r="K512" s="215" t="s">
        <v>211</v>
      </c>
      <c r="L512" s="215" t="s">
        <v>159</v>
      </c>
      <c r="M512" s="285"/>
      <c r="N512" s="215"/>
      <c r="O512" s="77"/>
    </row>
    <row r="513" spans="1:15">
      <c r="A513" s="296">
        <v>45740</v>
      </c>
      <c r="B513" s="215" t="s">
        <v>1471</v>
      </c>
      <c r="C513" s="215" t="s">
        <v>278</v>
      </c>
      <c r="D513" s="215" t="s">
        <v>525</v>
      </c>
      <c r="E513" s="222">
        <v>20000</v>
      </c>
      <c r="F513" s="283">
        <f t="shared" si="15"/>
        <v>34.503817847444822</v>
      </c>
      <c r="G513" s="77">
        <v>579.64599999999996</v>
      </c>
      <c r="H513" s="215" t="s">
        <v>209</v>
      </c>
      <c r="I513" s="215" t="s">
        <v>1503</v>
      </c>
      <c r="J513" s="215" t="s">
        <v>100</v>
      </c>
      <c r="K513" s="215" t="s">
        <v>1494</v>
      </c>
      <c r="L513" s="215" t="s">
        <v>159</v>
      </c>
      <c r="M513" s="285"/>
      <c r="N513" s="215"/>
      <c r="O513" s="77"/>
    </row>
    <row r="514" spans="1:15">
      <c r="A514" s="296">
        <v>45740</v>
      </c>
      <c r="B514" s="215" t="s">
        <v>985</v>
      </c>
      <c r="C514" s="215" t="s">
        <v>1539</v>
      </c>
      <c r="D514" s="215" t="s">
        <v>121</v>
      </c>
      <c r="E514" s="222">
        <v>7780</v>
      </c>
      <c r="F514" s="283">
        <f t="shared" si="15"/>
        <v>13.421985142656036</v>
      </c>
      <c r="G514" s="222">
        <v>579.64599999999996</v>
      </c>
      <c r="H514" s="215" t="s">
        <v>673</v>
      </c>
      <c r="I514" s="215" t="s">
        <v>1113</v>
      </c>
      <c r="J514" s="215" t="s">
        <v>100</v>
      </c>
      <c r="K514" s="215" t="s">
        <v>211</v>
      </c>
      <c r="L514" s="215" t="s">
        <v>159</v>
      </c>
      <c r="M514" s="284"/>
      <c r="N514" s="77"/>
      <c r="O514" s="77"/>
    </row>
    <row r="515" spans="1:15">
      <c r="A515" s="296">
        <v>45740</v>
      </c>
      <c r="B515" s="215" t="s">
        <v>986</v>
      </c>
      <c r="C515" s="215" t="s">
        <v>1539</v>
      </c>
      <c r="D515" s="215" t="s">
        <v>121</v>
      </c>
      <c r="E515" s="222">
        <v>6300</v>
      </c>
      <c r="F515" s="283">
        <f t="shared" si="15"/>
        <v>10.868702621945118</v>
      </c>
      <c r="G515" s="222">
        <v>579.64599999999996</v>
      </c>
      <c r="H515" s="215" t="s">
        <v>673</v>
      </c>
      <c r="I515" s="215" t="s">
        <v>1114</v>
      </c>
      <c r="J515" s="215" t="s">
        <v>100</v>
      </c>
      <c r="K515" s="215" t="s">
        <v>211</v>
      </c>
      <c r="L515" s="215" t="s">
        <v>159</v>
      </c>
      <c r="M515" s="284"/>
      <c r="N515" s="77"/>
      <c r="O515" s="77"/>
    </row>
    <row r="516" spans="1:15">
      <c r="A516" s="296">
        <v>45740</v>
      </c>
      <c r="B516" s="215" t="s">
        <v>1528</v>
      </c>
      <c r="C516" s="215" t="s">
        <v>179</v>
      </c>
      <c r="D516" s="215" t="s">
        <v>120</v>
      </c>
      <c r="E516" s="222">
        <v>42000</v>
      </c>
      <c r="F516" s="283">
        <f t="shared" si="15"/>
        <v>72.458017479634123</v>
      </c>
      <c r="G516" s="77">
        <v>579.64599999999996</v>
      </c>
      <c r="H516" s="215" t="s">
        <v>673</v>
      </c>
      <c r="I516" s="215" t="s">
        <v>1115</v>
      </c>
      <c r="J516" s="215" t="s">
        <v>100</v>
      </c>
      <c r="K516" s="215" t="s">
        <v>1494</v>
      </c>
      <c r="L516" s="215" t="s">
        <v>159</v>
      </c>
      <c r="M516" s="284"/>
      <c r="N516" s="77"/>
      <c r="O516" s="77"/>
    </row>
    <row r="517" spans="1:15">
      <c r="A517" s="296">
        <v>45740</v>
      </c>
      <c r="B517" s="215" t="s">
        <v>1544</v>
      </c>
      <c r="C517" s="215" t="s">
        <v>184</v>
      </c>
      <c r="D517" s="215" t="s">
        <v>124</v>
      </c>
      <c r="E517" s="222">
        <v>30000</v>
      </c>
      <c r="F517" s="283">
        <f t="shared" si="15"/>
        <v>51.755726771167232</v>
      </c>
      <c r="G517" s="77">
        <v>579.64599999999996</v>
      </c>
      <c r="H517" s="215" t="s">
        <v>192</v>
      </c>
      <c r="I517" s="215" t="s">
        <v>1267</v>
      </c>
      <c r="J517" s="215" t="s">
        <v>100</v>
      </c>
      <c r="K517" s="215" t="s">
        <v>1494</v>
      </c>
      <c r="L517" s="215" t="s">
        <v>159</v>
      </c>
      <c r="M517" s="284"/>
      <c r="N517" s="77"/>
      <c r="O517" s="77"/>
    </row>
    <row r="518" spans="1:15">
      <c r="A518" s="296">
        <v>45740</v>
      </c>
      <c r="B518" s="215" t="s">
        <v>1268</v>
      </c>
      <c r="C518" s="215" t="s">
        <v>179</v>
      </c>
      <c r="D518" s="215" t="s">
        <v>124</v>
      </c>
      <c r="E518" s="222">
        <v>68000</v>
      </c>
      <c r="F518" s="283">
        <f t="shared" si="15"/>
        <v>117.3129806813124</v>
      </c>
      <c r="G518" s="77">
        <v>579.64599999999996</v>
      </c>
      <c r="H518" s="215" t="s">
        <v>192</v>
      </c>
      <c r="I518" s="215" t="s">
        <v>1269</v>
      </c>
      <c r="J518" s="215" t="s">
        <v>100</v>
      </c>
      <c r="K518" s="215" t="s">
        <v>1494</v>
      </c>
      <c r="L518" s="215" t="s">
        <v>159</v>
      </c>
      <c r="M518" s="284"/>
      <c r="N518" s="77"/>
      <c r="O518" s="77"/>
    </row>
    <row r="519" spans="1:15">
      <c r="A519" s="296">
        <v>45740</v>
      </c>
      <c r="B519" s="215" t="s">
        <v>1569</v>
      </c>
      <c r="C519" s="215" t="s">
        <v>179</v>
      </c>
      <c r="D519" s="215" t="s">
        <v>180</v>
      </c>
      <c r="E519" s="222">
        <v>5000</v>
      </c>
      <c r="F519" s="283">
        <f t="shared" si="15"/>
        <v>8.6259544618612054</v>
      </c>
      <c r="G519" s="77">
        <v>579.64599999999996</v>
      </c>
      <c r="H519" s="215" t="s">
        <v>181</v>
      </c>
      <c r="I519" s="215" t="s">
        <v>1295</v>
      </c>
      <c r="J519" s="215" t="s">
        <v>100</v>
      </c>
      <c r="K519" s="215" t="s">
        <v>1494</v>
      </c>
      <c r="L519" s="215" t="s">
        <v>159</v>
      </c>
      <c r="M519" s="284"/>
      <c r="N519" s="77"/>
      <c r="O519" s="77"/>
    </row>
    <row r="520" spans="1:15">
      <c r="A520" s="296">
        <v>45740</v>
      </c>
      <c r="B520" s="215" t="s">
        <v>1576</v>
      </c>
      <c r="C520" s="215" t="s">
        <v>184</v>
      </c>
      <c r="D520" s="215" t="s">
        <v>180</v>
      </c>
      <c r="E520" s="222">
        <v>45000</v>
      </c>
      <c r="F520" s="283">
        <f t="shared" si="15"/>
        <v>77.633590156750856</v>
      </c>
      <c r="G520" s="77">
        <v>579.64599999999996</v>
      </c>
      <c r="H520" s="215" t="s">
        <v>181</v>
      </c>
      <c r="I520" s="215" t="s">
        <v>1296</v>
      </c>
      <c r="J520" s="215" t="s">
        <v>100</v>
      </c>
      <c r="K520" s="215" t="s">
        <v>1494</v>
      </c>
      <c r="L520" s="215" t="s">
        <v>159</v>
      </c>
      <c r="M520" s="284"/>
      <c r="N520" s="77"/>
      <c r="O520" s="77"/>
    </row>
    <row r="521" spans="1:15">
      <c r="A521" s="296">
        <v>45740</v>
      </c>
      <c r="B521" s="215" t="s">
        <v>1556</v>
      </c>
      <c r="C521" s="215" t="s">
        <v>184</v>
      </c>
      <c r="D521" s="215" t="s">
        <v>124</v>
      </c>
      <c r="E521" s="222">
        <v>30000</v>
      </c>
      <c r="F521" s="283">
        <f t="shared" si="15"/>
        <v>51.755726771167232</v>
      </c>
      <c r="G521" s="77">
        <v>579.64599999999996</v>
      </c>
      <c r="H521" s="215" t="s">
        <v>351</v>
      </c>
      <c r="I521" s="215" t="s">
        <v>1342</v>
      </c>
      <c r="J521" s="215" t="s">
        <v>100</v>
      </c>
      <c r="K521" s="215" t="s">
        <v>1494</v>
      </c>
      <c r="L521" s="215" t="s">
        <v>159</v>
      </c>
      <c r="M521" s="284"/>
      <c r="N521" s="77"/>
      <c r="O521" s="77"/>
    </row>
    <row r="522" spans="1:15">
      <c r="A522" s="296">
        <v>45740</v>
      </c>
      <c r="B522" s="215" t="s">
        <v>984</v>
      </c>
      <c r="C522" s="215" t="s">
        <v>1538</v>
      </c>
      <c r="D522" s="215" t="s">
        <v>121</v>
      </c>
      <c r="E522" s="222">
        <v>101000</v>
      </c>
      <c r="F522" s="283">
        <f t="shared" si="15"/>
        <v>174.24428012959635</v>
      </c>
      <c r="G522" s="77">
        <v>579.64599999999996</v>
      </c>
      <c r="H522" s="215" t="s">
        <v>201</v>
      </c>
      <c r="I522" s="215" t="s">
        <v>1112</v>
      </c>
      <c r="J522" s="215" t="s">
        <v>100</v>
      </c>
      <c r="K522" s="215" t="s">
        <v>1494</v>
      </c>
      <c r="L522" s="215" t="s">
        <v>159</v>
      </c>
      <c r="M522" s="284"/>
      <c r="N522" s="77"/>
      <c r="O522" s="77"/>
    </row>
    <row r="523" spans="1:15">
      <c r="A523" s="296">
        <v>45740</v>
      </c>
      <c r="B523" s="215" t="s">
        <v>988</v>
      </c>
      <c r="C523" s="215" t="s">
        <v>184</v>
      </c>
      <c r="D523" s="215" t="s">
        <v>120</v>
      </c>
      <c r="E523" s="222">
        <v>275000</v>
      </c>
      <c r="F523" s="283">
        <f t="shared" si="15"/>
        <v>474.42749540236633</v>
      </c>
      <c r="G523" s="222">
        <v>579.64599999999996</v>
      </c>
      <c r="H523" s="215" t="s">
        <v>201</v>
      </c>
      <c r="I523" s="215" t="s">
        <v>1116</v>
      </c>
      <c r="J523" s="215" t="s">
        <v>100</v>
      </c>
      <c r="K523" s="215" t="s">
        <v>211</v>
      </c>
      <c r="L523" s="215" t="s">
        <v>159</v>
      </c>
      <c r="M523" s="284"/>
      <c r="N523" s="77"/>
      <c r="O523" s="77"/>
    </row>
    <row r="524" spans="1:15">
      <c r="A524" s="296">
        <v>45741</v>
      </c>
      <c r="B524" s="215" t="s">
        <v>1569</v>
      </c>
      <c r="C524" s="215" t="s">
        <v>1298</v>
      </c>
      <c r="D524" s="215" t="s">
        <v>180</v>
      </c>
      <c r="E524" s="222">
        <v>15000</v>
      </c>
      <c r="F524" s="283">
        <f t="shared" si="15"/>
        <v>25.877863385583616</v>
      </c>
      <c r="G524" s="77">
        <v>579.64599999999996</v>
      </c>
      <c r="H524" s="215" t="s">
        <v>181</v>
      </c>
      <c r="I524" s="215" t="s">
        <v>1299</v>
      </c>
      <c r="J524" s="215" t="s">
        <v>100</v>
      </c>
      <c r="K524" s="215" t="s">
        <v>1494</v>
      </c>
      <c r="L524" s="215" t="s">
        <v>159</v>
      </c>
      <c r="M524" s="284"/>
      <c r="N524" s="77"/>
      <c r="O524" s="77"/>
    </row>
    <row r="525" spans="1:15">
      <c r="A525" s="296">
        <v>45741</v>
      </c>
      <c r="B525" s="215" t="s">
        <v>1577</v>
      </c>
      <c r="C525" s="215" t="s">
        <v>184</v>
      </c>
      <c r="D525" s="215" t="s">
        <v>180</v>
      </c>
      <c r="E525" s="222">
        <v>15000</v>
      </c>
      <c r="F525" s="283">
        <f t="shared" si="15"/>
        <v>25.877863385583616</v>
      </c>
      <c r="G525" s="77">
        <v>579.64599999999996</v>
      </c>
      <c r="H525" s="215" t="s">
        <v>181</v>
      </c>
      <c r="I525" s="215" t="s">
        <v>1300</v>
      </c>
      <c r="J525" s="215" t="s">
        <v>100</v>
      </c>
      <c r="K525" s="215" t="s">
        <v>1494</v>
      </c>
      <c r="L525" s="215" t="s">
        <v>159</v>
      </c>
      <c r="M525" s="284"/>
      <c r="N525" s="77"/>
      <c r="O525" s="77"/>
    </row>
    <row r="526" spans="1:15">
      <c r="A526" s="296">
        <v>45741</v>
      </c>
      <c r="B526" s="215" t="s">
        <v>1529</v>
      </c>
      <c r="C526" s="215" t="s">
        <v>329</v>
      </c>
      <c r="D526" s="215" t="s">
        <v>124</v>
      </c>
      <c r="E526" s="222">
        <v>10000</v>
      </c>
      <c r="F526" s="283">
        <f t="shared" si="15"/>
        <v>17.251908923722411</v>
      </c>
      <c r="G526" s="77">
        <v>579.64599999999996</v>
      </c>
      <c r="H526" s="215" t="s">
        <v>351</v>
      </c>
      <c r="I526" s="215" t="s">
        <v>1346</v>
      </c>
      <c r="J526" s="215" t="s">
        <v>100</v>
      </c>
      <c r="K526" s="215" t="s">
        <v>1494</v>
      </c>
      <c r="L526" s="215" t="s">
        <v>159</v>
      </c>
      <c r="M526" s="284"/>
      <c r="N526" s="77"/>
      <c r="O526" s="77"/>
    </row>
    <row r="527" spans="1:15">
      <c r="A527" s="296">
        <v>45741</v>
      </c>
      <c r="B527" s="215" t="s">
        <v>980</v>
      </c>
      <c r="C527" s="215" t="s">
        <v>1539</v>
      </c>
      <c r="D527" s="215" t="s">
        <v>121</v>
      </c>
      <c r="E527" s="222">
        <v>11820</v>
      </c>
      <c r="F527" s="283">
        <f t="shared" si="15"/>
        <v>20.391756347839891</v>
      </c>
      <c r="G527" s="77">
        <v>579.64599999999996</v>
      </c>
      <c r="H527" s="215" t="s">
        <v>351</v>
      </c>
      <c r="I527" s="215" t="s">
        <v>1117</v>
      </c>
      <c r="J527" s="215" t="s">
        <v>100</v>
      </c>
      <c r="K527" s="215" t="s">
        <v>1494</v>
      </c>
      <c r="L527" s="215" t="s">
        <v>159</v>
      </c>
      <c r="M527" s="284"/>
      <c r="N527" s="77"/>
      <c r="O527" s="77"/>
    </row>
    <row r="528" spans="1:15">
      <c r="A528" s="296">
        <v>45742</v>
      </c>
      <c r="B528" s="215" t="s">
        <v>1395</v>
      </c>
      <c r="C528" s="215" t="s">
        <v>179</v>
      </c>
      <c r="D528" s="215" t="s">
        <v>120</v>
      </c>
      <c r="E528" s="222">
        <v>10000</v>
      </c>
      <c r="F528" s="283">
        <f t="shared" si="15"/>
        <v>17.251908923722411</v>
      </c>
      <c r="G528" s="77">
        <v>579.64599999999996</v>
      </c>
      <c r="H528" s="215" t="s">
        <v>198</v>
      </c>
      <c r="I528" s="215" t="s">
        <v>1396</v>
      </c>
      <c r="J528" s="215" t="s">
        <v>100</v>
      </c>
      <c r="K528" s="215" t="s">
        <v>1494</v>
      </c>
      <c r="L528" s="215" t="s">
        <v>159</v>
      </c>
      <c r="M528" s="284"/>
      <c r="N528" s="77"/>
      <c r="O528" s="77"/>
    </row>
    <row r="529" spans="1:15">
      <c r="A529" s="296">
        <v>45741</v>
      </c>
      <c r="B529" s="215" t="s">
        <v>1398</v>
      </c>
      <c r="C529" s="215" t="s">
        <v>334</v>
      </c>
      <c r="D529" s="215" t="s">
        <v>120</v>
      </c>
      <c r="E529" s="222">
        <v>14000</v>
      </c>
      <c r="F529" s="283">
        <f t="shared" si="15"/>
        <v>24.152672493211377</v>
      </c>
      <c r="G529" s="77">
        <v>579.64599999999996</v>
      </c>
      <c r="H529" s="215" t="s">
        <v>198</v>
      </c>
      <c r="I529" s="215" t="s">
        <v>1399</v>
      </c>
      <c r="J529" s="215" t="s">
        <v>100</v>
      </c>
      <c r="K529" s="215" t="s">
        <v>1494</v>
      </c>
      <c r="L529" s="215" t="s">
        <v>159</v>
      </c>
      <c r="M529" s="284"/>
      <c r="N529" s="77"/>
      <c r="O529" s="77"/>
    </row>
    <row r="530" spans="1:15">
      <c r="A530" s="296">
        <v>45740</v>
      </c>
      <c r="B530" s="215" t="s">
        <v>1400</v>
      </c>
      <c r="C530" s="215" t="s">
        <v>184</v>
      </c>
      <c r="D530" s="215" t="s">
        <v>120</v>
      </c>
      <c r="E530" s="222">
        <v>135000</v>
      </c>
      <c r="F530" s="283">
        <f t="shared" si="15"/>
        <v>232.90077047025255</v>
      </c>
      <c r="G530" s="222">
        <v>579.64599999999996</v>
      </c>
      <c r="H530" s="215" t="s">
        <v>198</v>
      </c>
      <c r="I530" s="215" t="s">
        <v>1401</v>
      </c>
      <c r="J530" s="215" t="s">
        <v>100</v>
      </c>
      <c r="K530" s="215" t="s">
        <v>211</v>
      </c>
      <c r="L530" s="215" t="s">
        <v>159</v>
      </c>
      <c r="M530" s="284"/>
      <c r="N530" s="77"/>
      <c r="O530" s="77"/>
    </row>
    <row r="531" spans="1:15">
      <c r="A531" s="296">
        <v>45741</v>
      </c>
      <c r="B531" s="215" t="s">
        <v>989</v>
      </c>
      <c r="C531" s="215" t="s">
        <v>1538</v>
      </c>
      <c r="D531" s="215" t="s">
        <v>121</v>
      </c>
      <c r="E531" s="222">
        <v>25000</v>
      </c>
      <c r="F531" s="283">
        <f t="shared" si="15"/>
        <v>43.129772309306027</v>
      </c>
      <c r="G531" s="222">
        <v>579.64599999999996</v>
      </c>
      <c r="H531" s="215" t="s">
        <v>201</v>
      </c>
      <c r="I531" s="215" t="s">
        <v>1118</v>
      </c>
      <c r="J531" s="215" t="s">
        <v>100</v>
      </c>
      <c r="K531" s="215" t="s">
        <v>211</v>
      </c>
      <c r="L531" s="215" t="s">
        <v>159</v>
      </c>
      <c r="M531" s="284"/>
      <c r="N531" s="77"/>
      <c r="O531" s="77"/>
    </row>
    <row r="532" spans="1:15">
      <c r="A532" s="296">
        <v>45741</v>
      </c>
      <c r="B532" s="215" t="s">
        <v>1169</v>
      </c>
      <c r="C532" s="215" t="s">
        <v>130</v>
      </c>
      <c r="D532" s="215" t="s">
        <v>122</v>
      </c>
      <c r="E532" s="222">
        <v>1311000</v>
      </c>
      <c r="F532" s="283">
        <f t="shared" si="15"/>
        <v>2261.725259900008</v>
      </c>
      <c r="G532" s="222">
        <v>579.64599999999996</v>
      </c>
      <c r="H532" s="215" t="s">
        <v>151</v>
      </c>
      <c r="I532" s="215" t="s">
        <v>1216</v>
      </c>
      <c r="J532" s="215" t="s">
        <v>100</v>
      </c>
      <c r="K532" s="215" t="s">
        <v>211</v>
      </c>
      <c r="L532" s="215" t="s">
        <v>159</v>
      </c>
      <c r="M532" s="284"/>
      <c r="N532" s="77"/>
      <c r="O532" s="77"/>
    </row>
    <row r="533" spans="1:15">
      <c r="A533" s="296">
        <v>45741</v>
      </c>
      <c r="B533" s="215" t="s">
        <v>1170</v>
      </c>
      <c r="C533" s="215" t="s">
        <v>130</v>
      </c>
      <c r="D533" s="215" t="s">
        <v>121</v>
      </c>
      <c r="E533" s="222">
        <v>230000</v>
      </c>
      <c r="F533" s="283">
        <f t="shared" si="15"/>
        <v>396.79390524561546</v>
      </c>
      <c r="G533" s="222">
        <v>579.64599999999996</v>
      </c>
      <c r="H533" s="215" t="s">
        <v>151</v>
      </c>
      <c r="I533" s="215" t="s">
        <v>1217</v>
      </c>
      <c r="J533" s="215" t="s">
        <v>100</v>
      </c>
      <c r="K533" s="215" t="s">
        <v>211</v>
      </c>
      <c r="L533" s="215" t="s">
        <v>159</v>
      </c>
      <c r="M533" s="284"/>
      <c r="N533" s="77"/>
      <c r="O533" s="77"/>
    </row>
    <row r="534" spans="1:15">
      <c r="A534" s="296">
        <v>45741</v>
      </c>
      <c r="B534" s="215" t="s">
        <v>1171</v>
      </c>
      <c r="C534" s="215" t="s">
        <v>130</v>
      </c>
      <c r="D534" s="215" t="s">
        <v>120</v>
      </c>
      <c r="E534" s="222">
        <v>200000</v>
      </c>
      <c r="F534" s="283">
        <f t="shared" si="15"/>
        <v>345.03817847444822</v>
      </c>
      <c r="G534" s="222">
        <v>579.64599999999996</v>
      </c>
      <c r="H534" s="215" t="s">
        <v>151</v>
      </c>
      <c r="I534" s="215" t="s">
        <v>1218</v>
      </c>
      <c r="J534" s="215" t="s">
        <v>100</v>
      </c>
      <c r="K534" s="215" t="s">
        <v>211</v>
      </c>
      <c r="L534" s="215" t="s">
        <v>159</v>
      </c>
      <c r="M534" s="284"/>
      <c r="N534" s="77"/>
      <c r="O534" s="77"/>
    </row>
    <row r="535" spans="1:15">
      <c r="A535" s="296">
        <v>45741</v>
      </c>
      <c r="B535" s="215" t="s">
        <v>1172</v>
      </c>
      <c r="C535" s="215" t="s">
        <v>130</v>
      </c>
      <c r="D535" s="215" t="s">
        <v>120</v>
      </c>
      <c r="E535" s="222">
        <v>200000</v>
      </c>
      <c r="F535" s="283">
        <f t="shared" si="15"/>
        <v>345.03817847444822</v>
      </c>
      <c r="G535" s="222">
        <v>579.64599999999996</v>
      </c>
      <c r="H535" s="215" t="s">
        <v>151</v>
      </c>
      <c r="I535" s="215" t="s">
        <v>1219</v>
      </c>
      <c r="J535" s="215" t="s">
        <v>100</v>
      </c>
      <c r="K535" s="215" t="s">
        <v>211</v>
      </c>
      <c r="L535" s="215" t="s">
        <v>159</v>
      </c>
      <c r="M535" s="284"/>
      <c r="N535" s="77"/>
      <c r="O535" s="77"/>
    </row>
    <row r="536" spans="1:15">
      <c r="A536" s="296">
        <v>45741</v>
      </c>
      <c r="B536" s="215" t="s">
        <v>1173</v>
      </c>
      <c r="C536" s="215" t="s">
        <v>130</v>
      </c>
      <c r="D536" s="215" t="s">
        <v>120</v>
      </c>
      <c r="E536" s="222">
        <v>200000</v>
      </c>
      <c r="F536" s="283">
        <f t="shared" si="15"/>
        <v>345.03817847444822</v>
      </c>
      <c r="G536" s="222">
        <v>579.64599999999996</v>
      </c>
      <c r="H536" s="215" t="s">
        <v>151</v>
      </c>
      <c r="I536" s="215" t="s">
        <v>1220</v>
      </c>
      <c r="J536" s="215" t="s">
        <v>100</v>
      </c>
      <c r="K536" s="215" t="s">
        <v>211</v>
      </c>
      <c r="L536" s="215" t="s">
        <v>159</v>
      </c>
      <c r="M536" s="284"/>
      <c r="N536" s="77"/>
      <c r="O536" s="77"/>
    </row>
    <row r="537" spans="1:15">
      <c r="A537" s="296">
        <v>45741</v>
      </c>
      <c r="B537" s="215" t="s">
        <v>1174</v>
      </c>
      <c r="C537" s="215" t="s">
        <v>130</v>
      </c>
      <c r="D537" s="215" t="s">
        <v>120</v>
      </c>
      <c r="E537" s="222">
        <v>551482</v>
      </c>
      <c r="F537" s="283">
        <f t="shared" si="15"/>
        <v>951.41172370722825</v>
      </c>
      <c r="G537" s="222">
        <v>579.64599999999996</v>
      </c>
      <c r="H537" s="215" t="s">
        <v>151</v>
      </c>
      <c r="I537" s="215" t="s">
        <v>1221</v>
      </c>
      <c r="J537" s="215" t="s">
        <v>100</v>
      </c>
      <c r="K537" s="215" t="s">
        <v>211</v>
      </c>
      <c r="L537" s="215" t="s">
        <v>159</v>
      </c>
      <c r="M537" s="284"/>
      <c r="N537" s="77"/>
      <c r="O537" s="77"/>
    </row>
    <row r="538" spans="1:15">
      <c r="A538" s="296">
        <v>45741</v>
      </c>
      <c r="B538" s="215" t="s">
        <v>1175</v>
      </c>
      <c r="C538" s="215" t="s">
        <v>130</v>
      </c>
      <c r="D538" s="215" t="s">
        <v>123</v>
      </c>
      <c r="E538" s="222">
        <v>238140</v>
      </c>
      <c r="F538" s="283">
        <f t="shared" si="15"/>
        <v>410.83695910952548</v>
      </c>
      <c r="G538" s="222">
        <v>579.64599999999996</v>
      </c>
      <c r="H538" s="215" t="s">
        <v>151</v>
      </c>
      <c r="I538" s="215" t="s">
        <v>1222</v>
      </c>
      <c r="J538" s="215" t="s">
        <v>100</v>
      </c>
      <c r="K538" s="215" t="s">
        <v>211</v>
      </c>
      <c r="L538" s="215" t="s">
        <v>159</v>
      </c>
      <c r="M538" s="284"/>
      <c r="N538" s="77"/>
      <c r="O538" s="77"/>
    </row>
    <row r="539" spans="1:15">
      <c r="A539" s="296">
        <v>45741</v>
      </c>
      <c r="B539" s="215" t="s">
        <v>1176</v>
      </c>
      <c r="C539" s="215" t="s">
        <v>130</v>
      </c>
      <c r="D539" s="215" t="s">
        <v>120</v>
      </c>
      <c r="E539" s="222">
        <v>193548</v>
      </c>
      <c r="F539" s="283">
        <f t="shared" si="15"/>
        <v>333.9072468368625</v>
      </c>
      <c r="G539" s="222">
        <v>579.64599999999996</v>
      </c>
      <c r="H539" s="215" t="s">
        <v>151</v>
      </c>
      <c r="I539" s="215" t="s">
        <v>1481</v>
      </c>
      <c r="J539" s="215" t="s">
        <v>100</v>
      </c>
      <c r="K539" s="215" t="s">
        <v>211</v>
      </c>
      <c r="L539" s="215" t="s">
        <v>159</v>
      </c>
      <c r="M539" s="284"/>
      <c r="N539" s="77"/>
      <c r="O539" s="77"/>
    </row>
    <row r="540" spans="1:15">
      <c r="A540" s="296">
        <v>45742</v>
      </c>
      <c r="B540" s="215" t="s">
        <v>708</v>
      </c>
      <c r="C540" s="215" t="s">
        <v>324</v>
      </c>
      <c r="D540" s="215" t="s">
        <v>121</v>
      </c>
      <c r="E540" s="222">
        <v>20000</v>
      </c>
      <c r="F540" s="283">
        <f t="shared" si="15"/>
        <v>34.503817847444822</v>
      </c>
      <c r="G540" s="222">
        <v>579.64599999999996</v>
      </c>
      <c r="H540" s="215" t="s">
        <v>673</v>
      </c>
      <c r="I540" s="215" t="s">
        <v>1119</v>
      </c>
      <c r="J540" s="215" t="s">
        <v>100</v>
      </c>
      <c r="K540" s="215" t="s">
        <v>211</v>
      </c>
      <c r="L540" s="215" t="s">
        <v>159</v>
      </c>
      <c r="M540" s="284"/>
      <c r="N540" s="77"/>
      <c r="O540" s="77"/>
    </row>
    <row r="541" spans="1:15">
      <c r="A541" s="296">
        <v>45742</v>
      </c>
      <c r="B541" s="215" t="s">
        <v>1564</v>
      </c>
      <c r="C541" s="215" t="s">
        <v>184</v>
      </c>
      <c r="D541" s="215" t="s">
        <v>124</v>
      </c>
      <c r="E541" s="222">
        <v>75000</v>
      </c>
      <c r="F541" s="283">
        <f t="shared" si="15"/>
        <v>129.38931692791809</v>
      </c>
      <c r="G541" s="222">
        <v>579.64599999999996</v>
      </c>
      <c r="H541" s="215" t="s">
        <v>340</v>
      </c>
      <c r="I541" s="215" t="s">
        <v>1323</v>
      </c>
      <c r="J541" s="215" t="s">
        <v>100</v>
      </c>
      <c r="K541" s="215" t="s">
        <v>211</v>
      </c>
      <c r="L541" s="215" t="s">
        <v>159</v>
      </c>
      <c r="M541" s="284"/>
      <c r="N541" s="77"/>
      <c r="O541" s="77"/>
    </row>
    <row r="542" spans="1:15">
      <c r="A542" s="296">
        <v>45742</v>
      </c>
      <c r="B542" s="215" t="s">
        <v>1560</v>
      </c>
      <c r="C542" s="215" t="s">
        <v>179</v>
      </c>
      <c r="D542" s="215" t="s">
        <v>124</v>
      </c>
      <c r="E542" s="222">
        <v>3000</v>
      </c>
      <c r="F542" s="283">
        <f t="shared" si="15"/>
        <v>5.1755726771167234</v>
      </c>
      <c r="G542" s="77">
        <v>579.64599999999996</v>
      </c>
      <c r="H542" s="215" t="s">
        <v>340</v>
      </c>
      <c r="I542" s="215" t="s">
        <v>1324</v>
      </c>
      <c r="J542" s="215" t="s">
        <v>100</v>
      </c>
      <c r="K542" s="215" t="s">
        <v>1494</v>
      </c>
      <c r="L542" s="215" t="s">
        <v>159</v>
      </c>
      <c r="M542" s="284"/>
      <c r="N542" s="77"/>
      <c r="O542" s="77"/>
    </row>
    <row r="543" spans="1:15">
      <c r="A543" s="296">
        <v>45742</v>
      </c>
      <c r="B543" s="215" t="s">
        <v>1447</v>
      </c>
      <c r="C543" s="215" t="s">
        <v>184</v>
      </c>
      <c r="D543" s="215" t="s">
        <v>208</v>
      </c>
      <c r="E543" s="222">
        <v>135000</v>
      </c>
      <c r="F543" s="283">
        <f t="shared" si="15"/>
        <v>232.90077047025255</v>
      </c>
      <c r="G543" s="77">
        <v>579.64599999999996</v>
      </c>
      <c r="H543" s="215" t="s">
        <v>223</v>
      </c>
      <c r="I543" s="215" t="s">
        <v>1448</v>
      </c>
      <c r="J543" s="215" t="s">
        <v>100</v>
      </c>
      <c r="K543" s="215" t="s">
        <v>1494</v>
      </c>
      <c r="L543" s="215" t="s">
        <v>159</v>
      </c>
      <c r="M543" s="284"/>
      <c r="N543" s="77"/>
      <c r="O543" s="77"/>
    </row>
    <row r="544" spans="1:15">
      <c r="A544" s="296">
        <v>45742</v>
      </c>
      <c r="B544" s="215" t="s">
        <v>1449</v>
      </c>
      <c r="C544" s="215" t="s">
        <v>179</v>
      </c>
      <c r="D544" s="215" t="s">
        <v>208</v>
      </c>
      <c r="E544" s="222">
        <v>10000</v>
      </c>
      <c r="F544" s="283">
        <f t="shared" si="15"/>
        <v>17.251908923722411</v>
      </c>
      <c r="G544" s="77">
        <v>579.64599999999996</v>
      </c>
      <c r="H544" s="215" t="s">
        <v>223</v>
      </c>
      <c r="I544" s="215" t="s">
        <v>1450</v>
      </c>
      <c r="J544" s="215" t="s">
        <v>100</v>
      </c>
      <c r="K544" s="215" t="s">
        <v>1494</v>
      </c>
      <c r="L544" s="215" t="s">
        <v>159</v>
      </c>
      <c r="M544" s="284"/>
      <c r="N544" s="77"/>
      <c r="O544" s="77"/>
    </row>
    <row r="545" spans="1:15">
      <c r="A545" s="296">
        <v>45742</v>
      </c>
      <c r="B545" s="215" t="s">
        <v>990</v>
      </c>
      <c r="C545" s="215" t="s">
        <v>337</v>
      </c>
      <c r="D545" s="215" t="s">
        <v>123</v>
      </c>
      <c r="E545" s="222">
        <v>200000</v>
      </c>
      <c r="F545" s="283">
        <f t="shared" si="15"/>
        <v>345.03817847444822</v>
      </c>
      <c r="G545" s="222">
        <v>579.64599999999996</v>
      </c>
      <c r="H545" s="215" t="s">
        <v>223</v>
      </c>
      <c r="I545" s="215" t="s">
        <v>1138</v>
      </c>
      <c r="J545" s="215" t="s">
        <v>100</v>
      </c>
      <c r="K545" s="215" t="s">
        <v>211</v>
      </c>
      <c r="L545" s="215" t="s">
        <v>159</v>
      </c>
      <c r="M545" s="284"/>
      <c r="N545" s="77"/>
      <c r="O545" s="77"/>
    </row>
    <row r="546" spans="1:15">
      <c r="A546" s="296">
        <v>45742</v>
      </c>
      <c r="B546" s="215" t="s">
        <v>1178</v>
      </c>
      <c r="C546" s="215" t="s">
        <v>131</v>
      </c>
      <c r="D546" s="215" t="s">
        <v>121</v>
      </c>
      <c r="E546" s="222">
        <v>52635</v>
      </c>
      <c r="F546" s="283">
        <f t="shared" si="15"/>
        <v>90.805422620012905</v>
      </c>
      <c r="G546" s="77">
        <v>579.64599999999996</v>
      </c>
      <c r="H546" s="215" t="s">
        <v>151</v>
      </c>
      <c r="I546" s="215" t="s">
        <v>1483</v>
      </c>
      <c r="J546" s="215" t="s">
        <v>100</v>
      </c>
      <c r="K546" s="215" t="s">
        <v>1494</v>
      </c>
      <c r="L546" s="215" t="s">
        <v>159</v>
      </c>
      <c r="M546" s="284"/>
      <c r="N546" s="77"/>
      <c r="O546" s="77"/>
    </row>
    <row r="547" spans="1:15">
      <c r="A547" s="296">
        <v>45743</v>
      </c>
      <c r="B547" s="215" t="s">
        <v>1578</v>
      </c>
      <c r="C547" s="215" t="s">
        <v>184</v>
      </c>
      <c r="D547" s="215" t="s">
        <v>180</v>
      </c>
      <c r="E547" s="222">
        <v>30000</v>
      </c>
      <c r="F547" s="283">
        <f t="shared" si="15"/>
        <v>51.755726771167232</v>
      </c>
      <c r="G547" s="77">
        <v>579.64599999999996</v>
      </c>
      <c r="H547" s="215" t="s">
        <v>181</v>
      </c>
      <c r="I547" s="215" t="s">
        <v>1301</v>
      </c>
      <c r="J547" s="215" t="s">
        <v>100</v>
      </c>
      <c r="K547" s="215" t="s">
        <v>1494</v>
      </c>
      <c r="L547" s="215" t="s">
        <v>159</v>
      </c>
      <c r="M547" s="284"/>
      <c r="N547" s="77"/>
      <c r="O547" s="77"/>
    </row>
    <row r="548" spans="1:15">
      <c r="A548" s="296">
        <v>45743</v>
      </c>
      <c r="B548" s="215" t="s">
        <v>1569</v>
      </c>
      <c r="C548" s="215" t="s">
        <v>179</v>
      </c>
      <c r="D548" s="215" t="s">
        <v>180</v>
      </c>
      <c r="E548" s="222">
        <v>15000</v>
      </c>
      <c r="F548" s="283">
        <f t="shared" si="15"/>
        <v>25.877863385583616</v>
      </c>
      <c r="G548" s="77">
        <v>579.64599999999996</v>
      </c>
      <c r="H548" s="215" t="s">
        <v>181</v>
      </c>
      <c r="I548" s="215" t="s">
        <v>1302</v>
      </c>
      <c r="J548" s="215" t="s">
        <v>100</v>
      </c>
      <c r="K548" s="215" t="s">
        <v>1494</v>
      </c>
      <c r="L548" s="215" t="s">
        <v>159</v>
      </c>
      <c r="M548" s="284"/>
      <c r="N548" s="77"/>
      <c r="O548" s="77"/>
    </row>
    <row r="549" spans="1:15">
      <c r="A549" s="296">
        <v>45743</v>
      </c>
      <c r="B549" s="215" t="s">
        <v>1303</v>
      </c>
      <c r="C549" s="215" t="s">
        <v>414</v>
      </c>
      <c r="D549" s="215" t="s">
        <v>180</v>
      </c>
      <c r="E549" s="222">
        <v>18000</v>
      </c>
      <c r="F549" s="283">
        <f t="shared" si="15"/>
        <v>31.053436062700339</v>
      </c>
      <c r="G549" s="77">
        <v>579.64599999999996</v>
      </c>
      <c r="H549" s="215" t="s">
        <v>181</v>
      </c>
      <c r="I549" s="215" t="s">
        <v>1304</v>
      </c>
      <c r="J549" s="215" t="s">
        <v>100</v>
      </c>
      <c r="K549" s="215" t="s">
        <v>1494</v>
      </c>
      <c r="L549" s="215" t="s">
        <v>159</v>
      </c>
      <c r="M549" s="284"/>
      <c r="N549" s="77"/>
      <c r="O549" s="77"/>
    </row>
    <row r="550" spans="1:15">
      <c r="A550" s="296">
        <v>45743</v>
      </c>
      <c r="B550" s="215" t="s">
        <v>1368</v>
      </c>
      <c r="C550" s="215" t="s">
        <v>179</v>
      </c>
      <c r="D550" s="215" t="s">
        <v>524</v>
      </c>
      <c r="E550" s="222">
        <v>8000</v>
      </c>
      <c r="F550" s="283">
        <f t="shared" si="15"/>
        <v>13.80152713897793</v>
      </c>
      <c r="G550" s="77">
        <v>579.64599999999996</v>
      </c>
      <c r="H550" s="215" t="s">
        <v>195</v>
      </c>
      <c r="I550" s="215" t="s">
        <v>1369</v>
      </c>
      <c r="J550" s="215" t="s">
        <v>100</v>
      </c>
      <c r="K550" s="215" t="s">
        <v>1494</v>
      </c>
      <c r="L550" s="215" t="s">
        <v>159</v>
      </c>
      <c r="M550" s="284"/>
      <c r="N550" s="77"/>
      <c r="O550" s="77"/>
    </row>
    <row r="551" spans="1:15">
      <c r="A551" s="296">
        <v>45743</v>
      </c>
      <c r="B551" s="215" t="s">
        <v>1428</v>
      </c>
      <c r="C551" s="215" t="s">
        <v>1538</v>
      </c>
      <c r="D551" s="215" t="s">
        <v>208</v>
      </c>
      <c r="E551" s="222">
        <v>28400</v>
      </c>
      <c r="F551" s="283">
        <f t="shared" si="15"/>
        <v>48.995421343371646</v>
      </c>
      <c r="G551" s="77">
        <v>579.64599999999996</v>
      </c>
      <c r="H551" s="215" t="s">
        <v>505</v>
      </c>
      <c r="I551" s="215" t="s">
        <v>1430</v>
      </c>
      <c r="J551" s="215" t="s">
        <v>100</v>
      </c>
      <c r="K551" s="215" t="s">
        <v>1494</v>
      </c>
      <c r="L551" s="215" t="s">
        <v>159</v>
      </c>
      <c r="M551" s="284"/>
      <c r="N551" s="77"/>
      <c r="O551" s="77"/>
    </row>
    <row r="552" spans="1:15">
      <c r="A552" s="296">
        <v>45744</v>
      </c>
      <c r="B552" s="215" t="s">
        <v>991</v>
      </c>
      <c r="C552" s="215" t="s">
        <v>324</v>
      </c>
      <c r="D552" s="215" t="s">
        <v>121</v>
      </c>
      <c r="E552" s="222">
        <v>8000</v>
      </c>
      <c r="F552" s="283">
        <f t="shared" si="15"/>
        <v>13.80152713897793</v>
      </c>
      <c r="G552" s="77">
        <v>579.64599999999996</v>
      </c>
      <c r="H552" s="215" t="s">
        <v>673</v>
      </c>
      <c r="I552" s="215" t="s">
        <v>1120</v>
      </c>
      <c r="J552" s="215" t="s">
        <v>100</v>
      </c>
      <c r="K552" s="215" t="s">
        <v>1494</v>
      </c>
      <c r="L552" s="215" t="s">
        <v>159</v>
      </c>
      <c r="M552" s="284"/>
      <c r="N552" s="77"/>
      <c r="O552" s="77"/>
    </row>
    <row r="553" spans="1:15">
      <c r="A553" s="296">
        <v>45744</v>
      </c>
      <c r="B553" s="215" t="s">
        <v>993</v>
      </c>
      <c r="C553" s="215" t="s">
        <v>324</v>
      </c>
      <c r="D553" s="215" t="s">
        <v>121</v>
      </c>
      <c r="E553" s="222">
        <v>75625</v>
      </c>
      <c r="F553" s="283">
        <f t="shared" si="15"/>
        <v>130.46756123565072</v>
      </c>
      <c r="G553" s="77">
        <v>579.64599999999996</v>
      </c>
      <c r="H553" s="215" t="s">
        <v>673</v>
      </c>
      <c r="I553" s="215" t="s">
        <v>1122</v>
      </c>
      <c r="J553" s="215" t="s">
        <v>100</v>
      </c>
      <c r="K553" s="215" t="s">
        <v>1494</v>
      </c>
      <c r="L553" s="215" t="s">
        <v>159</v>
      </c>
      <c r="M553" s="284"/>
      <c r="N553" s="77"/>
      <c r="O553" s="77"/>
    </row>
    <row r="554" spans="1:15">
      <c r="A554" s="296">
        <v>45744</v>
      </c>
      <c r="B554" s="215" t="s">
        <v>1577</v>
      </c>
      <c r="C554" s="215" t="s">
        <v>184</v>
      </c>
      <c r="D554" s="215" t="s">
        <v>180</v>
      </c>
      <c r="E554" s="222">
        <v>15000</v>
      </c>
      <c r="F554" s="283">
        <f t="shared" si="15"/>
        <v>25.877863385583616</v>
      </c>
      <c r="G554" s="77">
        <v>579.64599999999996</v>
      </c>
      <c r="H554" s="215" t="s">
        <v>181</v>
      </c>
      <c r="I554" s="215" t="s">
        <v>1305</v>
      </c>
      <c r="J554" s="215" t="s">
        <v>100</v>
      </c>
      <c r="K554" s="215" t="s">
        <v>1494</v>
      </c>
      <c r="L554" s="215" t="s">
        <v>159</v>
      </c>
      <c r="M554" s="284"/>
      <c r="N554" s="77"/>
      <c r="O554" s="77"/>
    </row>
    <row r="555" spans="1:15">
      <c r="A555" s="296">
        <v>45744</v>
      </c>
      <c r="B555" s="215" t="s">
        <v>1569</v>
      </c>
      <c r="C555" s="215" t="s">
        <v>179</v>
      </c>
      <c r="D555" s="215" t="s">
        <v>180</v>
      </c>
      <c r="E555" s="222">
        <v>7000</v>
      </c>
      <c r="F555" s="283">
        <f t="shared" ref="F555:F587" si="16">+E555/G555</f>
        <v>12.076336246605688</v>
      </c>
      <c r="G555" s="222">
        <v>579.64599999999996</v>
      </c>
      <c r="H555" s="215" t="s">
        <v>181</v>
      </c>
      <c r="I555" s="215" t="s">
        <v>1306</v>
      </c>
      <c r="J555" s="215" t="s">
        <v>100</v>
      </c>
      <c r="K555" s="215" t="s">
        <v>211</v>
      </c>
      <c r="L555" s="215" t="s">
        <v>159</v>
      </c>
      <c r="M555" s="284"/>
      <c r="N555" s="77"/>
      <c r="O555" s="77"/>
    </row>
    <row r="556" spans="1:15">
      <c r="A556" s="296">
        <v>45744</v>
      </c>
      <c r="B556" s="215" t="s">
        <v>1565</v>
      </c>
      <c r="C556" s="215" t="s">
        <v>184</v>
      </c>
      <c r="D556" s="215" t="s">
        <v>124</v>
      </c>
      <c r="E556" s="222">
        <v>30000</v>
      </c>
      <c r="F556" s="283">
        <f t="shared" si="16"/>
        <v>51.755726771167232</v>
      </c>
      <c r="G556" s="222">
        <v>579.64599999999996</v>
      </c>
      <c r="H556" s="215" t="s">
        <v>340</v>
      </c>
      <c r="I556" s="215" t="s">
        <v>1325</v>
      </c>
      <c r="J556" s="215" t="s">
        <v>100</v>
      </c>
      <c r="K556" s="215" t="s">
        <v>211</v>
      </c>
      <c r="L556" s="215" t="s">
        <v>159</v>
      </c>
      <c r="M556" s="284"/>
      <c r="N556" s="77"/>
      <c r="O556" s="77"/>
    </row>
    <row r="557" spans="1:15">
      <c r="A557" s="296">
        <v>45744</v>
      </c>
      <c r="B557" s="215" t="s">
        <v>1560</v>
      </c>
      <c r="C557" s="215" t="s">
        <v>179</v>
      </c>
      <c r="D557" s="215" t="s">
        <v>124</v>
      </c>
      <c r="E557" s="222">
        <v>7000</v>
      </c>
      <c r="F557" s="283">
        <f t="shared" si="16"/>
        <v>12.076336246605688</v>
      </c>
      <c r="G557" s="222">
        <v>579.64599999999996</v>
      </c>
      <c r="H557" s="215" t="s">
        <v>340</v>
      </c>
      <c r="I557" s="215" t="s">
        <v>1326</v>
      </c>
      <c r="J557" s="215" t="s">
        <v>100</v>
      </c>
      <c r="K557" s="215" t="s">
        <v>211</v>
      </c>
      <c r="L557" s="215" t="s">
        <v>159</v>
      </c>
      <c r="M557" s="284"/>
      <c r="N557" s="77"/>
      <c r="O557" s="77"/>
    </row>
    <row r="558" spans="1:15">
      <c r="A558" s="296">
        <v>45744</v>
      </c>
      <c r="B558" s="215" t="s">
        <v>1370</v>
      </c>
      <c r="C558" s="215" t="s">
        <v>334</v>
      </c>
      <c r="D558" s="215" t="s">
        <v>524</v>
      </c>
      <c r="E558" s="222">
        <v>41500</v>
      </c>
      <c r="F558" s="283">
        <f t="shared" si="16"/>
        <v>71.595422033448003</v>
      </c>
      <c r="G558" s="222">
        <v>579.64599999999996</v>
      </c>
      <c r="H558" s="215" t="s">
        <v>195</v>
      </c>
      <c r="I558" s="215" t="s">
        <v>1371</v>
      </c>
      <c r="J558" s="215" t="s">
        <v>100</v>
      </c>
      <c r="K558" s="215" t="s">
        <v>211</v>
      </c>
      <c r="L558" s="215" t="s">
        <v>159</v>
      </c>
      <c r="M558" s="284"/>
      <c r="N558" s="77"/>
      <c r="O558" s="77"/>
    </row>
    <row r="559" spans="1:15">
      <c r="A559" s="296">
        <v>45744</v>
      </c>
      <c r="B559" s="215" t="s">
        <v>1402</v>
      </c>
      <c r="C559" s="215" t="s">
        <v>179</v>
      </c>
      <c r="D559" s="215" t="s">
        <v>120</v>
      </c>
      <c r="E559" s="222">
        <v>35500</v>
      </c>
      <c r="F559" s="283">
        <f t="shared" si="16"/>
        <v>61.244276679214558</v>
      </c>
      <c r="G559" s="222">
        <v>579.64599999999996</v>
      </c>
      <c r="H559" s="215" t="s">
        <v>198</v>
      </c>
      <c r="I559" s="215" t="s">
        <v>1403</v>
      </c>
      <c r="J559" s="215" t="s">
        <v>100</v>
      </c>
      <c r="K559" s="215" t="s">
        <v>211</v>
      </c>
      <c r="L559" s="215" t="s">
        <v>159</v>
      </c>
      <c r="M559" s="284"/>
      <c r="N559" s="77"/>
      <c r="O559" s="77"/>
    </row>
    <row r="560" spans="1:15">
      <c r="A560" s="296">
        <v>45744</v>
      </c>
      <c r="B560" s="215" t="s">
        <v>992</v>
      </c>
      <c r="C560" s="215" t="s">
        <v>1539</v>
      </c>
      <c r="D560" s="215" t="s">
        <v>121</v>
      </c>
      <c r="E560" s="222">
        <v>8825</v>
      </c>
      <c r="F560" s="283">
        <f t="shared" si="16"/>
        <v>15.224809625185028</v>
      </c>
      <c r="G560" s="222">
        <v>579.64599999999996</v>
      </c>
      <c r="H560" s="215" t="s">
        <v>198</v>
      </c>
      <c r="I560" s="215" t="s">
        <v>1121</v>
      </c>
      <c r="J560" s="215" t="s">
        <v>100</v>
      </c>
      <c r="K560" s="215" t="s">
        <v>211</v>
      </c>
      <c r="L560" s="215" t="s">
        <v>159</v>
      </c>
      <c r="M560" s="284"/>
      <c r="N560" s="77"/>
      <c r="O560" s="77"/>
    </row>
    <row r="561" spans="1:15">
      <c r="A561" s="296">
        <v>45744</v>
      </c>
      <c r="B561" s="215" t="s">
        <v>1431</v>
      </c>
      <c r="C561" s="215" t="s">
        <v>334</v>
      </c>
      <c r="D561" s="215" t="s">
        <v>120</v>
      </c>
      <c r="E561" s="222">
        <v>4000</v>
      </c>
      <c r="F561" s="283">
        <f t="shared" si="16"/>
        <v>6.9007635694889649</v>
      </c>
      <c r="G561" s="222">
        <v>579.64599999999996</v>
      </c>
      <c r="H561" s="215" t="s">
        <v>505</v>
      </c>
      <c r="I561" s="215" t="s">
        <v>1432</v>
      </c>
      <c r="J561" s="215" t="s">
        <v>100</v>
      </c>
      <c r="K561" s="215" t="s">
        <v>211</v>
      </c>
      <c r="L561" s="215" t="s">
        <v>159</v>
      </c>
      <c r="M561" s="284"/>
      <c r="N561" s="77"/>
      <c r="O561" s="77"/>
    </row>
    <row r="562" spans="1:15">
      <c r="A562" s="296">
        <v>45744</v>
      </c>
      <c r="B562" s="215" t="s">
        <v>1530</v>
      </c>
      <c r="C562" s="215" t="s">
        <v>179</v>
      </c>
      <c r="D562" s="215" t="s">
        <v>123</v>
      </c>
      <c r="E562" s="222">
        <v>43650</v>
      </c>
      <c r="F562" s="283">
        <f t="shared" si="16"/>
        <v>75.304582452048322</v>
      </c>
      <c r="G562" s="222">
        <v>579.64599999999996</v>
      </c>
      <c r="H562" s="215" t="s">
        <v>223</v>
      </c>
      <c r="I562" s="215" t="s">
        <v>1452</v>
      </c>
      <c r="J562" s="215" t="s">
        <v>100</v>
      </c>
      <c r="K562" s="215" t="s">
        <v>211</v>
      </c>
      <c r="L562" s="215" t="s">
        <v>159</v>
      </c>
      <c r="M562" s="284"/>
      <c r="N562" s="77"/>
      <c r="O562" s="77"/>
    </row>
    <row r="563" spans="1:15">
      <c r="A563" s="296">
        <v>45744</v>
      </c>
      <c r="B563" s="215" t="s">
        <v>990</v>
      </c>
      <c r="C563" s="215" t="s">
        <v>337</v>
      </c>
      <c r="D563" s="215" t="s">
        <v>123</v>
      </c>
      <c r="E563" s="222">
        <v>154000</v>
      </c>
      <c r="F563" s="283">
        <f t="shared" si="16"/>
        <v>265.67939742532513</v>
      </c>
      <c r="G563" s="222">
        <v>579.64599999999996</v>
      </c>
      <c r="H563" s="215" t="s">
        <v>223</v>
      </c>
      <c r="I563" s="215" t="s">
        <v>1139</v>
      </c>
      <c r="J563" s="215" t="s">
        <v>100</v>
      </c>
      <c r="K563" s="215" t="s">
        <v>211</v>
      </c>
      <c r="L563" s="215" t="s">
        <v>159</v>
      </c>
      <c r="M563" s="284"/>
      <c r="N563" s="77"/>
      <c r="O563" s="77"/>
    </row>
    <row r="564" spans="1:15">
      <c r="A564" s="296">
        <v>45744</v>
      </c>
      <c r="B564" s="215" t="s">
        <v>1180</v>
      </c>
      <c r="C564" s="215" t="s">
        <v>130</v>
      </c>
      <c r="D564" s="215" t="s">
        <v>124</v>
      </c>
      <c r="E564" s="222">
        <v>500000</v>
      </c>
      <c r="F564" s="283">
        <f t="shared" si="16"/>
        <v>862.59544618612051</v>
      </c>
      <c r="G564" s="222">
        <v>579.64599999999996</v>
      </c>
      <c r="H564" s="215" t="s">
        <v>151</v>
      </c>
      <c r="I564" s="215" t="s">
        <v>1484</v>
      </c>
      <c r="J564" s="215" t="s">
        <v>100</v>
      </c>
      <c r="K564" s="215" t="s">
        <v>211</v>
      </c>
      <c r="L564" s="215" t="s">
        <v>159</v>
      </c>
      <c r="M564" s="284"/>
      <c r="N564" s="77"/>
      <c r="O564" s="77"/>
    </row>
    <row r="565" spans="1:15">
      <c r="A565" s="296">
        <v>45744</v>
      </c>
      <c r="B565" s="215" t="s">
        <v>1181</v>
      </c>
      <c r="C565" s="215" t="s">
        <v>130</v>
      </c>
      <c r="D565" s="215" t="s">
        <v>124</v>
      </c>
      <c r="E565" s="222">
        <v>375000</v>
      </c>
      <c r="F565" s="283">
        <f t="shared" si="16"/>
        <v>646.94658463959047</v>
      </c>
      <c r="G565" s="222">
        <v>579.64599999999996</v>
      </c>
      <c r="H565" s="215" t="s">
        <v>151</v>
      </c>
      <c r="I565" s="215" t="s">
        <v>1485</v>
      </c>
      <c r="J565" s="215" t="s">
        <v>100</v>
      </c>
      <c r="K565" s="215" t="s">
        <v>211</v>
      </c>
      <c r="L565" s="215" t="s">
        <v>159</v>
      </c>
      <c r="M565" s="284"/>
      <c r="N565" s="77"/>
      <c r="O565" s="77"/>
    </row>
    <row r="566" spans="1:15">
      <c r="A566" s="296">
        <v>45745</v>
      </c>
      <c r="B566" s="215" t="s">
        <v>1474</v>
      </c>
      <c r="C566" s="215" t="s">
        <v>278</v>
      </c>
      <c r="D566" s="215" t="s">
        <v>525</v>
      </c>
      <c r="E566" s="222">
        <v>120000</v>
      </c>
      <c r="F566" s="283">
        <f t="shared" si="16"/>
        <v>207.02290708466893</v>
      </c>
      <c r="G566" s="222">
        <v>579.64599999999996</v>
      </c>
      <c r="H566" s="215" t="s">
        <v>209</v>
      </c>
      <c r="I566" s="215" t="s">
        <v>1504</v>
      </c>
      <c r="J566" s="215" t="s">
        <v>100</v>
      </c>
      <c r="K566" s="215" t="s">
        <v>211</v>
      </c>
      <c r="L566" s="215" t="s">
        <v>159</v>
      </c>
      <c r="M566" s="285"/>
      <c r="N566" s="215"/>
      <c r="O566" s="77"/>
    </row>
    <row r="567" spans="1:15">
      <c r="A567" s="296">
        <v>45745</v>
      </c>
      <c r="B567" s="215" t="s">
        <v>1475</v>
      </c>
      <c r="C567" s="215" t="s">
        <v>184</v>
      </c>
      <c r="D567" s="215" t="s">
        <v>525</v>
      </c>
      <c r="E567" s="222">
        <v>60000</v>
      </c>
      <c r="F567" s="283">
        <f t="shared" si="16"/>
        <v>103.51145354233446</v>
      </c>
      <c r="G567" s="222">
        <v>579.64599999999996</v>
      </c>
      <c r="H567" s="215" t="s">
        <v>209</v>
      </c>
      <c r="I567" s="215" t="s">
        <v>1505</v>
      </c>
      <c r="J567" s="215" t="s">
        <v>100</v>
      </c>
      <c r="K567" s="215" t="s">
        <v>211</v>
      </c>
      <c r="L567" s="215" t="s">
        <v>159</v>
      </c>
      <c r="M567" s="285"/>
      <c r="N567" s="215"/>
      <c r="O567" s="77"/>
    </row>
    <row r="568" spans="1:15">
      <c r="A568" s="296">
        <v>45745</v>
      </c>
      <c r="B568" s="215" t="s">
        <v>1476</v>
      </c>
      <c r="C568" s="215" t="s">
        <v>179</v>
      </c>
      <c r="D568" s="215" t="s">
        <v>525</v>
      </c>
      <c r="E568" s="222">
        <v>46875</v>
      </c>
      <c r="F568" s="283">
        <f t="shared" si="16"/>
        <v>80.868323079948809</v>
      </c>
      <c r="G568" s="222">
        <v>579.64599999999996</v>
      </c>
      <c r="H568" s="215" t="s">
        <v>209</v>
      </c>
      <c r="I568" s="215" t="s">
        <v>1506</v>
      </c>
      <c r="J568" s="215" t="s">
        <v>100</v>
      </c>
      <c r="K568" s="215" t="s">
        <v>211</v>
      </c>
      <c r="L568" s="215" t="s">
        <v>159</v>
      </c>
      <c r="M568" s="285"/>
      <c r="N568" s="215"/>
      <c r="O568" s="77"/>
    </row>
    <row r="569" spans="1:15">
      <c r="A569" s="296">
        <v>45745</v>
      </c>
      <c r="B569" s="215" t="s">
        <v>1477</v>
      </c>
      <c r="C569" s="215" t="s">
        <v>179</v>
      </c>
      <c r="D569" s="215" t="s">
        <v>525</v>
      </c>
      <c r="E569" s="222">
        <v>46875</v>
      </c>
      <c r="F569" s="283">
        <f t="shared" si="16"/>
        <v>80.868323079948809</v>
      </c>
      <c r="G569" s="222">
        <v>579.64599999999996</v>
      </c>
      <c r="H569" s="215" t="s">
        <v>209</v>
      </c>
      <c r="I569" s="215" t="s">
        <v>1507</v>
      </c>
      <c r="J569" s="215" t="s">
        <v>100</v>
      </c>
      <c r="K569" s="215" t="s">
        <v>211</v>
      </c>
      <c r="L569" s="215" t="s">
        <v>159</v>
      </c>
      <c r="M569" s="285"/>
      <c r="N569" s="215"/>
      <c r="O569" s="77"/>
    </row>
    <row r="570" spans="1:15">
      <c r="A570" s="296">
        <v>45745</v>
      </c>
      <c r="B570" s="215" t="s">
        <v>1478</v>
      </c>
      <c r="C570" s="215" t="s">
        <v>179</v>
      </c>
      <c r="D570" s="215" t="s">
        <v>524</v>
      </c>
      <c r="E570" s="222">
        <v>40000</v>
      </c>
      <c r="F570" s="283">
        <f t="shared" si="16"/>
        <v>69.007635694889643</v>
      </c>
      <c r="G570" s="222">
        <v>579.64599999999996</v>
      </c>
      <c r="H570" s="215" t="s">
        <v>209</v>
      </c>
      <c r="I570" s="215" t="s">
        <v>1508</v>
      </c>
      <c r="J570" s="215" t="s">
        <v>100</v>
      </c>
      <c r="K570" s="215" t="s">
        <v>211</v>
      </c>
      <c r="L570" s="215" t="s">
        <v>159</v>
      </c>
      <c r="M570" s="285"/>
      <c r="N570" s="215"/>
      <c r="O570" s="215"/>
    </row>
    <row r="571" spans="1:15">
      <c r="A571" s="296">
        <v>45745</v>
      </c>
      <c r="B571" s="215" t="s">
        <v>1307</v>
      </c>
      <c r="C571" s="215" t="s">
        <v>179</v>
      </c>
      <c r="D571" s="215" t="s">
        <v>180</v>
      </c>
      <c r="E571" s="222">
        <v>83200</v>
      </c>
      <c r="F571" s="283">
        <f t="shared" si="16"/>
        <v>143.53588224537046</v>
      </c>
      <c r="G571" s="222">
        <v>579.64599999999996</v>
      </c>
      <c r="H571" s="215" t="s">
        <v>181</v>
      </c>
      <c r="I571" s="215" t="s">
        <v>1308</v>
      </c>
      <c r="J571" s="215" t="s">
        <v>100</v>
      </c>
      <c r="K571" s="215" t="s">
        <v>211</v>
      </c>
      <c r="L571" s="215" t="s">
        <v>159</v>
      </c>
      <c r="M571" s="284"/>
      <c r="N571" s="77"/>
      <c r="O571" s="77"/>
    </row>
    <row r="572" spans="1:15">
      <c r="A572" s="296">
        <v>45743</v>
      </c>
      <c r="B572" s="215" t="s">
        <v>1372</v>
      </c>
      <c r="C572" s="215" t="s">
        <v>184</v>
      </c>
      <c r="D572" s="215" t="s">
        <v>524</v>
      </c>
      <c r="E572" s="222">
        <v>150000</v>
      </c>
      <c r="F572" s="283">
        <f t="shared" si="16"/>
        <v>258.77863385583618</v>
      </c>
      <c r="G572" s="222">
        <v>579.64599999999996</v>
      </c>
      <c r="H572" s="215" t="s">
        <v>195</v>
      </c>
      <c r="I572" s="215" t="s">
        <v>1373</v>
      </c>
      <c r="J572" s="215" t="s">
        <v>100</v>
      </c>
      <c r="K572" s="215" t="s">
        <v>211</v>
      </c>
      <c r="L572" s="215" t="s">
        <v>159</v>
      </c>
      <c r="M572" s="284"/>
      <c r="N572" s="77"/>
      <c r="O572" s="77"/>
    </row>
    <row r="573" spans="1:15">
      <c r="A573" s="296">
        <v>45745</v>
      </c>
      <c r="B573" s="215" t="s">
        <v>1374</v>
      </c>
      <c r="C573" s="215" t="s">
        <v>184</v>
      </c>
      <c r="D573" s="215" t="s">
        <v>524</v>
      </c>
      <c r="E573" s="222">
        <v>30000</v>
      </c>
      <c r="F573" s="283">
        <f t="shared" si="16"/>
        <v>51.755726771167232</v>
      </c>
      <c r="G573" s="222">
        <v>579.64599999999996</v>
      </c>
      <c r="H573" s="215" t="s">
        <v>195</v>
      </c>
      <c r="I573" s="215" t="s">
        <v>1375</v>
      </c>
      <c r="J573" s="215" t="s">
        <v>100</v>
      </c>
      <c r="K573" s="215" t="s">
        <v>211</v>
      </c>
      <c r="L573" s="215" t="s">
        <v>159</v>
      </c>
      <c r="M573" s="284"/>
      <c r="N573" s="77"/>
      <c r="O573" s="77"/>
    </row>
    <row r="574" spans="1:15">
      <c r="A574" s="296">
        <v>45745</v>
      </c>
      <c r="B574" s="215" t="s">
        <v>1531</v>
      </c>
      <c r="C574" s="215" t="s">
        <v>179</v>
      </c>
      <c r="D574" s="215" t="s">
        <v>524</v>
      </c>
      <c r="E574" s="222">
        <v>6000</v>
      </c>
      <c r="F574" s="283">
        <f t="shared" si="16"/>
        <v>10.351145354233447</v>
      </c>
      <c r="G574" s="222">
        <v>579.64599999999996</v>
      </c>
      <c r="H574" s="215" t="s">
        <v>195</v>
      </c>
      <c r="I574" s="215" t="s">
        <v>1377</v>
      </c>
      <c r="J574" s="215" t="s">
        <v>100</v>
      </c>
      <c r="K574" s="215" t="s">
        <v>211</v>
      </c>
      <c r="L574" s="215" t="s">
        <v>159</v>
      </c>
      <c r="M574" s="284"/>
      <c r="N574" s="77"/>
      <c r="O574" s="77"/>
    </row>
    <row r="575" spans="1:15">
      <c r="A575" s="296">
        <v>45745</v>
      </c>
      <c r="B575" s="215" t="s">
        <v>1378</v>
      </c>
      <c r="C575" s="215" t="s">
        <v>179</v>
      </c>
      <c r="D575" s="215" t="s">
        <v>524</v>
      </c>
      <c r="E575" s="222">
        <v>7000</v>
      </c>
      <c r="F575" s="283">
        <f t="shared" si="16"/>
        <v>12.076336246605688</v>
      </c>
      <c r="G575" s="222">
        <v>579.64599999999996</v>
      </c>
      <c r="H575" s="215" t="s">
        <v>195</v>
      </c>
      <c r="I575" s="215" t="s">
        <v>1379</v>
      </c>
      <c r="J575" s="215" t="s">
        <v>100</v>
      </c>
      <c r="K575" s="215" t="s">
        <v>211</v>
      </c>
      <c r="L575" s="215" t="s">
        <v>159</v>
      </c>
      <c r="M575" s="284"/>
      <c r="N575" s="77"/>
      <c r="O575" s="77"/>
    </row>
    <row r="576" spans="1:15">
      <c r="A576" s="296">
        <v>45745</v>
      </c>
      <c r="B576" s="215" t="s">
        <v>1532</v>
      </c>
      <c r="C576" s="215" t="s">
        <v>179</v>
      </c>
      <c r="D576" s="215" t="s">
        <v>524</v>
      </c>
      <c r="E576" s="222">
        <v>49400</v>
      </c>
      <c r="F576" s="283">
        <f t="shared" si="16"/>
        <v>85.224430083188707</v>
      </c>
      <c r="G576" s="222">
        <v>579.64599999999996</v>
      </c>
      <c r="H576" s="215" t="s">
        <v>195</v>
      </c>
      <c r="I576" s="215" t="s">
        <v>1381</v>
      </c>
      <c r="J576" s="215" t="s">
        <v>100</v>
      </c>
      <c r="K576" s="215" t="s">
        <v>211</v>
      </c>
      <c r="L576" s="215" t="s">
        <v>159</v>
      </c>
      <c r="M576" s="284"/>
      <c r="N576" s="77"/>
      <c r="O576" s="77"/>
    </row>
    <row r="577" spans="1:15">
      <c r="A577" s="296">
        <v>45747</v>
      </c>
      <c r="B577" s="215" t="s">
        <v>1244</v>
      </c>
      <c r="C577" s="215" t="s">
        <v>179</v>
      </c>
      <c r="D577" s="215" t="s">
        <v>122</v>
      </c>
      <c r="E577" s="222">
        <v>61000</v>
      </c>
      <c r="F577" s="283">
        <f t="shared" si="16"/>
        <v>105.2366444347067</v>
      </c>
      <c r="G577" s="222">
        <v>579.64599999999996</v>
      </c>
      <c r="H577" s="215" t="s">
        <v>156</v>
      </c>
      <c r="I577" s="215" t="s">
        <v>1245</v>
      </c>
      <c r="J577" s="215" t="s">
        <v>100</v>
      </c>
      <c r="K577" s="215" t="s">
        <v>211</v>
      </c>
      <c r="L577" s="215" t="s">
        <v>159</v>
      </c>
      <c r="M577" s="285"/>
      <c r="N577" s="215"/>
      <c r="O577" s="77"/>
    </row>
    <row r="578" spans="1:15">
      <c r="A578" s="296">
        <v>45747</v>
      </c>
      <c r="B578" s="239" t="s">
        <v>1533</v>
      </c>
      <c r="C578" s="215" t="s">
        <v>179</v>
      </c>
      <c r="D578" s="215" t="s">
        <v>121</v>
      </c>
      <c r="E578" s="222">
        <v>35500</v>
      </c>
      <c r="F578" s="283">
        <f t="shared" si="16"/>
        <v>61.244276679214558</v>
      </c>
      <c r="G578" s="222">
        <v>579.64599999999996</v>
      </c>
      <c r="H578" s="215" t="s">
        <v>673</v>
      </c>
      <c r="I578" s="215" t="s">
        <v>1249</v>
      </c>
      <c r="J578" s="215" t="s">
        <v>100</v>
      </c>
      <c r="K578" s="215" t="s">
        <v>211</v>
      </c>
      <c r="L578" s="215" t="s">
        <v>159</v>
      </c>
      <c r="M578" s="284"/>
      <c r="N578" s="77"/>
      <c r="O578" s="77"/>
    </row>
    <row r="579" spans="1:15">
      <c r="A579" s="296">
        <v>45747</v>
      </c>
      <c r="B579" s="215" t="s">
        <v>995</v>
      </c>
      <c r="C579" s="215" t="s">
        <v>717</v>
      </c>
      <c r="D579" s="215" t="s">
        <v>121</v>
      </c>
      <c r="E579" s="222">
        <v>45050</v>
      </c>
      <c r="F579" s="283">
        <f t="shared" si="16"/>
        <v>77.719849701369469</v>
      </c>
      <c r="G579" s="222">
        <v>579.64599999999996</v>
      </c>
      <c r="H579" s="215" t="s">
        <v>673</v>
      </c>
      <c r="I579" s="215" t="s">
        <v>1123</v>
      </c>
      <c r="J579" s="215" t="s">
        <v>100</v>
      </c>
      <c r="K579" s="215" t="s">
        <v>211</v>
      </c>
      <c r="L579" s="215" t="s">
        <v>159</v>
      </c>
      <c r="M579" s="284"/>
      <c r="N579" s="77"/>
      <c r="O579" s="77"/>
    </row>
    <row r="580" spans="1:15">
      <c r="A580" s="296">
        <v>45747</v>
      </c>
      <c r="B580" s="215" t="s">
        <v>1327</v>
      </c>
      <c r="C580" s="215" t="s">
        <v>411</v>
      </c>
      <c r="D580" s="215" t="s">
        <v>124</v>
      </c>
      <c r="E580" s="222">
        <v>30100</v>
      </c>
      <c r="F580" s="283">
        <f t="shared" si="16"/>
        <v>51.928245860404459</v>
      </c>
      <c r="G580" s="222">
        <v>579.64599999999996</v>
      </c>
      <c r="H580" s="215" t="s">
        <v>340</v>
      </c>
      <c r="I580" s="215" t="s">
        <v>1328</v>
      </c>
      <c r="J580" s="215" t="s">
        <v>100</v>
      </c>
      <c r="K580" s="215" t="s">
        <v>211</v>
      </c>
      <c r="L580" s="215" t="s">
        <v>159</v>
      </c>
      <c r="M580" s="284"/>
      <c r="N580" s="77"/>
      <c r="O580" s="77"/>
    </row>
    <row r="581" spans="1:15">
      <c r="A581" s="296">
        <v>45747</v>
      </c>
      <c r="B581" s="215" t="s">
        <v>1329</v>
      </c>
      <c r="C581" s="215" t="s">
        <v>179</v>
      </c>
      <c r="D581" s="215" t="s">
        <v>124</v>
      </c>
      <c r="E581" s="222">
        <v>89800</v>
      </c>
      <c r="F581" s="283">
        <f t="shared" si="16"/>
        <v>154.92214213502726</v>
      </c>
      <c r="G581" s="222">
        <v>579.64599999999996</v>
      </c>
      <c r="H581" s="215" t="s">
        <v>340</v>
      </c>
      <c r="I581" s="215" t="s">
        <v>1330</v>
      </c>
      <c r="J581" s="215" t="s">
        <v>100</v>
      </c>
      <c r="K581" s="215" t="s">
        <v>211</v>
      </c>
      <c r="L581" s="215" t="s">
        <v>159</v>
      </c>
      <c r="M581" s="284"/>
      <c r="N581" s="77"/>
      <c r="O581" s="77"/>
    </row>
    <row r="582" spans="1:15">
      <c r="A582" s="296">
        <v>45747</v>
      </c>
      <c r="B582" s="215" t="s">
        <v>1348</v>
      </c>
      <c r="C582" s="215" t="s">
        <v>179</v>
      </c>
      <c r="D582" s="215" t="s">
        <v>124</v>
      </c>
      <c r="E582" s="222">
        <v>50500</v>
      </c>
      <c r="F582" s="283">
        <f t="shared" si="16"/>
        <v>87.122140064798174</v>
      </c>
      <c r="G582" s="222">
        <v>579.64599999999996</v>
      </c>
      <c r="H582" s="215" t="s">
        <v>351</v>
      </c>
      <c r="I582" s="215" t="s">
        <v>1349</v>
      </c>
      <c r="J582" s="215" t="s">
        <v>100</v>
      </c>
      <c r="K582" s="215" t="s">
        <v>211</v>
      </c>
      <c r="L582" s="215" t="s">
        <v>159</v>
      </c>
      <c r="M582" s="284"/>
      <c r="N582" s="77"/>
      <c r="O582" s="77"/>
    </row>
    <row r="583" spans="1:15">
      <c r="A583" s="296">
        <v>45747</v>
      </c>
      <c r="B583" s="215" t="s">
        <v>1534</v>
      </c>
      <c r="C583" s="215" t="s">
        <v>179</v>
      </c>
      <c r="D583" s="215" t="s">
        <v>120</v>
      </c>
      <c r="E583" s="222">
        <v>53000</v>
      </c>
      <c r="F583" s="283">
        <f t="shared" si="16"/>
        <v>91.435117295728773</v>
      </c>
      <c r="G583" s="222">
        <v>579.64599999999996</v>
      </c>
      <c r="H583" s="215" t="s">
        <v>201</v>
      </c>
      <c r="I583" s="215" t="s">
        <v>1415</v>
      </c>
      <c r="J583" s="215" t="s">
        <v>100</v>
      </c>
      <c r="K583" s="215" t="s">
        <v>211</v>
      </c>
      <c r="L583" s="215" t="s">
        <v>159</v>
      </c>
      <c r="M583" s="284"/>
      <c r="N583" s="77"/>
      <c r="O583" s="77"/>
    </row>
    <row r="584" spans="1:15">
      <c r="A584" s="296">
        <v>45747</v>
      </c>
      <c r="B584" s="215" t="s">
        <v>996</v>
      </c>
      <c r="C584" s="215" t="s">
        <v>1539</v>
      </c>
      <c r="D584" s="215" t="s">
        <v>121</v>
      </c>
      <c r="E584" s="222">
        <v>16890</v>
      </c>
      <c r="F584" s="283">
        <f t="shared" si="16"/>
        <v>29.138474172167154</v>
      </c>
      <c r="G584" s="222">
        <v>579.64599999999996</v>
      </c>
      <c r="H584" s="215" t="s">
        <v>201</v>
      </c>
      <c r="I584" s="215" t="s">
        <v>1124</v>
      </c>
      <c r="J584" s="215" t="s">
        <v>100</v>
      </c>
      <c r="K584" s="215" t="s">
        <v>211</v>
      </c>
      <c r="L584" s="215" t="s">
        <v>159</v>
      </c>
      <c r="M584" s="284"/>
      <c r="N584" s="77"/>
      <c r="O584" s="77"/>
    </row>
    <row r="585" spans="1:15">
      <c r="A585" s="296">
        <v>45747</v>
      </c>
      <c r="B585" s="215" t="s">
        <v>1434</v>
      </c>
      <c r="C585" s="215" t="s">
        <v>204</v>
      </c>
      <c r="D585" s="215" t="s">
        <v>120</v>
      </c>
      <c r="E585" s="222">
        <v>33000</v>
      </c>
      <c r="F585" s="283">
        <f t="shared" si="16"/>
        <v>56.931299448283958</v>
      </c>
      <c r="G585" s="222">
        <v>579.64599999999996</v>
      </c>
      <c r="H585" s="215" t="s">
        <v>505</v>
      </c>
      <c r="I585" s="215" t="s">
        <v>1435</v>
      </c>
      <c r="J585" s="215" t="s">
        <v>100</v>
      </c>
      <c r="K585" s="215" t="s">
        <v>211</v>
      </c>
      <c r="L585" s="215" t="s">
        <v>159</v>
      </c>
      <c r="M585" s="284"/>
      <c r="N585" s="77"/>
      <c r="O585" s="77"/>
    </row>
    <row r="586" spans="1:15">
      <c r="A586" s="296">
        <v>45747</v>
      </c>
      <c r="B586" s="215" t="s">
        <v>1182</v>
      </c>
      <c r="C586" s="215" t="s">
        <v>130</v>
      </c>
      <c r="D586" s="215" t="s">
        <v>124</v>
      </c>
      <c r="E586" s="222">
        <v>255000</v>
      </c>
      <c r="F586" s="283">
        <f t="shared" si="16"/>
        <v>439.92367755492148</v>
      </c>
      <c r="G586" s="222">
        <v>579.64599999999996</v>
      </c>
      <c r="H586" s="215" t="s">
        <v>151</v>
      </c>
      <c r="I586" s="215" t="s">
        <v>1486</v>
      </c>
      <c r="J586" s="215" t="s">
        <v>100</v>
      </c>
      <c r="K586" s="215" t="s">
        <v>211</v>
      </c>
      <c r="L586" s="215" t="s">
        <v>159</v>
      </c>
      <c r="M586" s="284"/>
      <c r="N586" s="77"/>
      <c r="O586" s="77"/>
    </row>
    <row r="587" spans="1:15">
      <c r="A587" s="296">
        <v>45747</v>
      </c>
      <c r="B587" s="215" t="s">
        <v>1183</v>
      </c>
      <c r="C587" s="215" t="s">
        <v>130</v>
      </c>
      <c r="D587" s="215" t="s">
        <v>124</v>
      </c>
      <c r="E587" s="222">
        <v>255000</v>
      </c>
      <c r="F587" s="283">
        <f t="shared" si="16"/>
        <v>439.92367755492148</v>
      </c>
      <c r="G587" s="222">
        <v>579.64599999999996</v>
      </c>
      <c r="H587" s="215" t="s">
        <v>151</v>
      </c>
      <c r="I587" s="215" t="s">
        <v>1487</v>
      </c>
      <c r="J587" s="215" t="s">
        <v>100</v>
      </c>
      <c r="K587" s="215" t="s">
        <v>211</v>
      </c>
      <c r="L587" s="215" t="s">
        <v>159</v>
      </c>
      <c r="M587" s="284"/>
      <c r="N587" s="77"/>
      <c r="O587" s="77"/>
    </row>
  </sheetData>
  <autoFilter ref="A1:O587" xr:uid="{00000000-0009-0000-0000-00000A000000}">
    <filterColumn colId="0">
      <filters>
        <dateGroupItem year="2025" month="3" dateTimeGrouping="month"/>
      </filters>
    </filterColumn>
    <sortState xmlns:xlrd2="http://schemas.microsoft.com/office/spreadsheetml/2017/richdata2" ref="A2:O342">
      <sortCondition ref="A1:A361"/>
    </sortState>
  </autoFilter>
  <dataValidations count="1">
    <dataValidation type="list" allowBlank="1" showInputMessage="1" showErrorMessage="1" sqref="C49:C50 C31 C33 C125 C59:C60 C113 C130 C147 C158:C160 C168:C171 C173:C178 C164:C165 C232 C333 C326 C24:C25 C162 C44:C47 C55:C56 C117:C118 C120 C123 C128 C150:C151 C153 C155 C323 C329" xr:uid="{00000000-0002-0000-0A00-000000000000}"/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1000000}">
          <x14:formula1>
            <xm:f>'C:\Users\merve\Desktop\Mars 2025\[Fichier comptable-Juriste Roderlin.xlsx]Feuil1'!#REF!</xm:f>
          </x14:formula1>
          <xm:sqref>C516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74"/>
  <sheetViews>
    <sheetView topLeftCell="A16" workbookViewId="0">
      <selection activeCell="O9" sqref="O9"/>
    </sheetView>
  </sheetViews>
  <sheetFormatPr baseColWidth="10" defaultColWidth="8.796875" defaultRowHeight="13.8"/>
  <cols>
    <col min="1" max="9" width="13.3984375" customWidth="1"/>
    <col min="10" max="10" width="14" style="266" customWidth="1"/>
    <col min="12" max="12" width="19.59765625" bestFit="1" customWidth="1"/>
    <col min="13" max="13" width="22.09765625" customWidth="1"/>
    <col min="14" max="14" width="18.8984375" customWidth="1"/>
    <col min="15" max="15" width="19.8984375" customWidth="1"/>
    <col min="16" max="16" width="24.09765625" customWidth="1"/>
  </cols>
  <sheetData>
    <row r="1" spans="1:16" ht="39.6">
      <c r="A1" s="177" t="s">
        <v>507</v>
      </c>
      <c r="B1" s="178" t="s">
        <v>77</v>
      </c>
      <c r="C1" s="178" t="s">
        <v>78</v>
      </c>
      <c r="D1" s="178" t="s">
        <v>79</v>
      </c>
      <c r="E1" s="178" t="s">
        <v>80</v>
      </c>
      <c r="F1" s="178" t="s">
        <v>81</v>
      </c>
      <c r="G1" s="178" t="s">
        <v>82</v>
      </c>
      <c r="H1" s="178" t="s">
        <v>83</v>
      </c>
      <c r="I1" s="178" t="s">
        <v>75</v>
      </c>
      <c r="J1" s="265" t="s">
        <v>76</v>
      </c>
    </row>
    <row r="2" spans="1:16">
      <c r="A2" s="179" t="s">
        <v>509</v>
      </c>
      <c r="B2" s="180">
        <f>C2*J3</f>
        <v>-1211363.2972836664</v>
      </c>
      <c r="C2" s="181">
        <v>-2031.83</v>
      </c>
      <c r="D2" s="181">
        <f>SUM(D3:D14)</f>
        <v>17885797</v>
      </c>
      <c r="E2" s="181">
        <f>SUM(E3:E14)</f>
        <v>30000</v>
      </c>
      <c r="F2" s="181">
        <f>SUM(F3:F14)</f>
        <v>16673974</v>
      </c>
      <c r="G2" s="181">
        <f>SUM(G3:G14)</f>
        <v>28272.844502878699</v>
      </c>
      <c r="H2" s="181">
        <f>B2+D2-F2</f>
        <v>459.70271633379161</v>
      </c>
      <c r="I2" s="181">
        <f>C2+E2-G2</f>
        <v>-304.67450287870088</v>
      </c>
      <c r="L2" s="305" t="s">
        <v>544</v>
      </c>
      <c r="M2" t="s">
        <v>547</v>
      </c>
      <c r="N2" t="s">
        <v>553</v>
      </c>
      <c r="O2" t="s">
        <v>555</v>
      </c>
      <c r="P2" t="s">
        <v>554</v>
      </c>
    </row>
    <row r="3" spans="1:16">
      <c r="A3" s="191" t="s">
        <v>84</v>
      </c>
      <c r="B3" s="187"/>
      <c r="C3" s="188"/>
      <c r="D3" s="188">
        <f>+GETPIVOTDATA("Somme de Receved in XAF",$L$2,"Donor","Wildcat","Mois",1)</f>
        <v>17885797</v>
      </c>
      <c r="E3" s="187">
        <f>+GETPIVOTDATA("Somme de Receved  $",$L$2,"Donor","Wildcat","Mois",1)</f>
        <v>30000</v>
      </c>
      <c r="F3" s="189">
        <f>+GETPIVOTDATA("Somme de Spent  in XAF",$L$2,"Donor","Wildcat","Mois",1)</f>
        <v>12832742</v>
      </c>
      <c r="G3" s="187">
        <f>+GETPIVOTDATA("Somme de Spent in $",$L$2,"Donor","Wildcat","Mois",1)</f>
        <v>21829.91075491453</v>
      </c>
      <c r="H3" s="190">
        <f>B2+D3-F3</f>
        <v>3841691.7027163338</v>
      </c>
      <c r="I3" s="190">
        <f>C2+E3-G3</f>
        <v>6138.2592450854681</v>
      </c>
      <c r="J3" s="287">
        <f>+D3/E3</f>
        <v>596.1932333333333</v>
      </c>
      <c r="L3" s="241" t="s">
        <v>211</v>
      </c>
      <c r="M3">
        <v>19379270</v>
      </c>
      <c r="N3">
        <v>33442.116168022359</v>
      </c>
      <c r="O3">
        <v>30000</v>
      </c>
      <c r="P3">
        <v>17389380</v>
      </c>
    </row>
    <row r="4" spans="1:16">
      <c r="A4" s="191" t="s">
        <v>85</v>
      </c>
      <c r="B4" s="187"/>
      <c r="C4" s="188"/>
      <c r="D4" s="188"/>
      <c r="E4" s="187"/>
      <c r="F4" s="189">
        <f>+GETPIVOTDATA("Somme de Spent  in XAF",$L$2,"Donor","Wildcat","Mois",2)</f>
        <v>3841232</v>
      </c>
      <c r="G4" s="187">
        <f>+GETPIVOTDATA("Somme de Spent in $",$L$2,"Donor","Wildcat","Mois",2)</f>
        <v>6442.9337479641699</v>
      </c>
      <c r="H4" s="190">
        <f>H3+D4-F4</f>
        <v>459.70271633379161</v>
      </c>
      <c r="I4" s="190">
        <f>I3+E4-G4</f>
        <v>-304.67450287870179</v>
      </c>
      <c r="L4" s="313" t="s">
        <v>926</v>
      </c>
      <c r="M4">
        <v>1526722</v>
      </c>
      <c r="N4">
        <v>2635.6825217940896</v>
      </c>
    </row>
    <row r="5" spans="1:16">
      <c r="A5" s="192" t="s">
        <v>86</v>
      </c>
      <c r="B5" s="184"/>
      <c r="C5" s="184"/>
      <c r="D5" s="184"/>
      <c r="E5" s="184"/>
      <c r="F5" s="185"/>
      <c r="G5" s="184"/>
      <c r="H5" s="190">
        <f t="shared" ref="H5:H14" si="0">H4+D5-F5</f>
        <v>459.70271633379161</v>
      </c>
      <c r="I5" s="190">
        <f t="shared" ref="I5:I14" si="1">I4+E5-G5</f>
        <v>-304.67450287870179</v>
      </c>
      <c r="L5" s="313" t="s">
        <v>1495</v>
      </c>
      <c r="M5">
        <v>17852548</v>
      </c>
      <c r="N5">
        <v>30806.433646228274</v>
      </c>
      <c r="O5">
        <v>30000</v>
      </c>
      <c r="P5">
        <v>17389380</v>
      </c>
    </row>
    <row r="6" spans="1:16">
      <c r="A6" s="191" t="s">
        <v>87</v>
      </c>
      <c r="B6" s="184"/>
      <c r="C6" s="184"/>
      <c r="D6" s="184"/>
      <c r="E6" s="184"/>
      <c r="F6" s="185"/>
      <c r="G6" s="184"/>
      <c r="H6" s="190">
        <f t="shared" si="0"/>
        <v>459.70271633379161</v>
      </c>
      <c r="I6" s="190">
        <f t="shared" si="1"/>
        <v>-304.67450287870179</v>
      </c>
      <c r="L6" s="241" t="s">
        <v>1494</v>
      </c>
      <c r="M6">
        <v>2392885</v>
      </c>
      <c r="N6">
        <v>4128.1834084941502</v>
      </c>
      <c r="O6">
        <v>5000</v>
      </c>
      <c r="P6">
        <v>2898230</v>
      </c>
    </row>
    <row r="7" spans="1:16">
      <c r="A7" s="192" t="s">
        <v>88</v>
      </c>
      <c r="B7" s="184"/>
      <c r="C7" s="184"/>
      <c r="D7" s="184"/>
      <c r="E7" s="184"/>
      <c r="F7" s="185"/>
      <c r="G7" s="184"/>
      <c r="H7" s="190">
        <f t="shared" si="0"/>
        <v>459.70271633379161</v>
      </c>
      <c r="I7" s="190">
        <f t="shared" si="1"/>
        <v>-304.67450287870179</v>
      </c>
      <c r="L7" s="313" t="s">
        <v>1495</v>
      </c>
      <c r="M7">
        <v>2392885</v>
      </c>
      <c r="N7">
        <v>4128.1834084941502</v>
      </c>
      <c r="O7">
        <v>5000</v>
      </c>
      <c r="P7">
        <v>2898230</v>
      </c>
    </row>
    <row r="8" spans="1:16">
      <c r="A8" s="183" t="s">
        <v>89</v>
      </c>
      <c r="B8" s="184"/>
      <c r="C8" s="184"/>
      <c r="D8" s="184"/>
      <c r="E8" s="184"/>
      <c r="F8" s="185"/>
      <c r="G8" s="184"/>
      <c r="H8" s="190">
        <f t="shared" si="0"/>
        <v>459.70271633379161</v>
      </c>
      <c r="I8" s="190">
        <f t="shared" si="1"/>
        <v>-304.67450287870179</v>
      </c>
      <c r="L8" s="241" t="s">
        <v>508</v>
      </c>
      <c r="M8">
        <v>3068955</v>
      </c>
      <c r="N8">
        <v>4999.7491128532729</v>
      </c>
    </row>
    <row r="9" spans="1:16">
      <c r="A9" s="183" t="s">
        <v>90</v>
      </c>
      <c r="B9" s="184"/>
      <c r="C9" s="184"/>
      <c r="D9" s="184"/>
      <c r="E9" s="184"/>
      <c r="F9" s="185"/>
      <c r="G9" s="184"/>
      <c r="H9" s="190">
        <f t="shared" si="0"/>
        <v>459.70271633379161</v>
      </c>
      <c r="I9" s="190">
        <f t="shared" si="1"/>
        <v>-304.67450287870179</v>
      </c>
      <c r="L9" s="313" t="s">
        <v>926</v>
      </c>
      <c r="M9">
        <v>3068955</v>
      </c>
      <c r="N9">
        <v>4999.7491128532729</v>
      </c>
    </row>
    <row r="10" spans="1:16">
      <c r="A10" s="183" t="s">
        <v>91</v>
      </c>
      <c r="B10" s="184"/>
      <c r="C10" s="184"/>
      <c r="D10" s="184"/>
      <c r="E10" s="184"/>
      <c r="F10" s="185"/>
      <c r="G10" s="184"/>
      <c r="H10" s="190">
        <f t="shared" si="0"/>
        <v>459.70271633379161</v>
      </c>
      <c r="I10" s="190">
        <f t="shared" si="1"/>
        <v>-304.67450287870179</v>
      </c>
      <c r="L10" s="241" t="s">
        <v>1489</v>
      </c>
      <c r="M10">
        <v>2107400</v>
      </c>
      <c r="N10">
        <v>3635.6672865852611</v>
      </c>
    </row>
    <row r="11" spans="1:16">
      <c r="A11" s="186" t="s">
        <v>92</v>
      </c>
      <c r="B11" s="184"/>
      <c r="C11" s="184"/>
      <c r="D11" s="184"/>
      <c r="E11" s="184"/>
      <c r="F11" s="185"/>
      <c r="G11" s="184"/>
      <c r="H11" s="190">
        <f t="shared" si="0"/>
        <v>459.70271633379161</v>
      </c>
      <c r="I11" s="190">
        <f t="shared" si="1"/>
        <v>-304.67450287870179</v>
      </c>
      <c r="L11" s="313" t="s">
        <v>1495</v>
      </c>
      <c r="M11">
        <v>2107400</v>
      </c>
      <c r="N11">
        <v>3635.6672865852611</v>
      </c>
    </row>
    <row r="12" spans="1:16">
      <c r="A12" s="183" t="s">
        <v>93</v>
      </c>
      <c r="B12" s="184"/>
      <c r="C12" s="184"/>
      <c r="D12" s="184"/>
      <c r="E12" s="184"/>
      <c r="F12" s="185"/>
      <c r="G12" s="184"/>
      <c r="H12" s="190">
        <f t="shared" si="0"/>
        <v>459.70271633379161</v>
      </c>
      <c r="I12" s="190">
        <f t="shared" si="1"/>
        <v>-304.67450287870179</v>
      </c>
      <c r="L12" s="241" t="s">
        <v>158</v>
      </c>
      <c r="M12">
        <v>16673974</v>
      </c>
      <c r="N12">
        <v>28272.844502878699</v>
      </c>
      <c r="O12">
        <v>30000</v>
      </c>
      <c r="P12">
        <v>17885797</v>
      </c>
    </row>
    <row r="13" spans="1:16">
      <c r="A13" s="183" t="s">
        <v>94</v>
      </c>
      <c r="B13" s="184"/>
      <c r="C13" s="184"/>
      <c r="D13" s="184"/>
      <c r="E13" s="184"/>
      <c r="F13" s="185"/>
      <c r="G13" s="184"/>
      <c r="H13" s="190">
        <f t="shared" si="0"/>
        <v>459.70271633379161</v>
      </c>
      <c r="I13" s="190">
        <f t="shared" si="1"/>
        <v>-304.67450287870179</v>
      </c>
      <c r="L13" s="313" t="s">
        <v>927</v>
      </c>
      <c r="M13">
        <v>12832742</v>
      </c>
      <c r="N13">
        <v>21829.91075491453</v>
      </c>
      <c r="O13">
        <v>30000</v>
      </c>
      <c r="P13">
        <v>17885797</v>
      </c>
    </row>
    <row r="14" spans="1:16">
      <c r="A14" s="183" t="s">
        <v>95</v>
      </c>
      <c r="B14" s="184"/>
      <c r="C14" s="184"/>
      <c r="D14" s="184"/>
      <c r="E14" s="184"/>
      <c r="F14" s="185"/>
      <c r="G14" s="184"/>
      <c r="H14" s="190">
        <f t="shared" si="0"/>
        <v>459.70271633379161</v>
      </c>
      <c r="I14" s="190">
        <f t="shared" si="1"/>
        <v>-304.67450287870179</v>
      </c>
      <c r="L14" s="313" t="s">
        <v>926</v>
      </c>
      <c r="M14">
        <v>3841232</v>
      </c>
      <c r="N14">
        <v>6442.9337479641699</v>
      </c>
    </row>
    <row r="15" spans="1:16">
      <c r="A15" s="221" t="s">
        <v>508</v>
      </c>
      <c r="B15" s="180">
        <f>+J15*C15</f>
        <v>3069109.0909090913</v>
      </c>
      <c r="C15" s="181">
        <v>5000</v>
      </c>
      <c r="D15" s="181">
        <f>SUM(D16:D27)</f>
        <v>0</v>
      </c>
      <c r="E15" s="181">
        <f>SUM(E16:E27)</f>
        <v>0</v>
      </c>
      <c r="F15" s="181">
        <f>SUM(F16:F27)</f>
        <v>3068955</v>
      </c>
      <c r="G15" s="181">
        <f>SUM(G16:G27)</f>
        <v>4999.7491128532729</v>
      </c>
      <c r="H15" s="181">
        <f>B15+D15-F15</f>
        <v>154.09090909129009</v>
      </c>
      <c r="I15" s="181">
        <f>C15+E15-G15</f>
        <v>0.25088714672710921</v>
      </c>
      <c r="J15" s="287">
        <f>844005/1375</f>
        <v>613.82181818181823</v>
      </c>
      <c r="L15" s="241" t="s">
        <v>545</v>
      </c>
      <c r="M15">
        <v>43622484</v>
      </c>
      <c r="N15">
        <v>74478.560478833737</v>
      </c>
      <c r="O15">
        <v>65000</v>
      </c>
      <c r="P15">
        <v>38173407</v>
      </c>
    </row>
    <row r="16" spans="1:16">
      <c r="A16" s="191" t="s">
        <v>84</v>
      </c>
      <c r="B16" s="187"/>
      <c r="C16" s="188"/>
      <c r="D16" s="188"/>
      <c r="E16" s="187"/>
      <c r="F16" s="189">
        <v>0</v>
      </c>
      <c r="G16" s="187">
        <v>0</v>
      </c>
      <c r="H16" s="190">
        <f>B15+D16-F16</f>
        <v>3069109.0909090913</v>
      </c>
      <c r="I16" s="190">
        <f>C15+E16-G16</f>
        <v>5000</v>
      </c>
    </row>
    <row r="17" spans="1:11">
      <c r="A17" s="191" t="s">
        <v>85</v>
      </c>
      <c r="B17" s="187"/>
      <c r="C17" s="188"/>
      <c r="D17" s="188"/>
      <c r="E17" s="187"/>
      <c r="F17" s="189">
        <f>+GETPIVOTDATA("Somme de Spent  in XAF",$L$2,"Donor","Rufford","Mois",2)</f>
        <v>3068955</v>
      </c>
      <c r="G17" s="187">
        <f>+GETPIVOTDATA("Somme de Spent in $",$L$2,"Donor","Rufford","Mois",2)</f>
        <v>4999.7491128532729</v>
      </c>
      <c r="H17" s="190">
        <f>H16+D17-F17</f>
        <v>154.09090909129009</v>
      </c>
      <c r="I17" s="190">
        <f>I16+E17-G17</f>
        <v>0.25088714672710921</v>
      </c>
    </row>
    <row r="18" spans="1:11">
      <c r="A18" s="192" t="s">
        <v>86</v>
      </c>
      <c r="B18" s="184"/>
      <c r="C18" s="184"/>
      <c r="D18" s="184"/>
      <c r="E18" s="184"/>
      <c r="F18" s="185"/>
      <c r="G18" s="184"/>
      <c r="H18" s="190">
        <f t="shared" ref="H18:H27" si="2">H17+D18-F18</f>
        <v>154.09090909129009</v>
      </c>
      <c r="I18" s="190">
        <f t="shared" ref="I18:I27" si="3">I17+E18-G18</f>
        <v>0.25088714672710921</v>
      </c>
    </row>
    <row r="19" spans="1:11">
      <c r="A19" s="191" t="s">
        <v>87</v>
      </c>
      <c r="B19" s="184"/>
      <c r="C19" s="184"/>
      <c r="D19" s="184"/>
      <c r="E19" s="184"/>
      <c r="F19" s="185"/>
      <c r="G19" s="184"/>
      <c r="H19" s="190">
        <f t="shared" si="2"/>
        <v>154.09090909129009</v>
      </c>
      <c r="I19" s="190">
        <f t="shared" si="3"/>
        <v>0.25088714672710921</v>
      </c>
    </row>
    <row r="20" spans="1:11">
      <c r="A20" s="192" t="s">
        <v>88</v>
      </c>
      <c r="B20" s="184"/>
      <c r="C20" s="184"/>
      <c r="D20" s="184"/>
      <c r="E20" s="184"/>
      <c r="F20" s="185"/>
      <c r="G20" s="184"/>
      <c r="H20" s="190">
        <f t="shared" si="2"/>
        <v>154.09090909129009</v>
      </c>
      <c r="I20" s="190">
        <f t="shared" si="3"/>
        <v>0.25088714672710921</v>
      </c>
    </row>
    <row r="21" spans="1:11">
      <c r="A21" s="192" t="s">
        <v>89</v>
      </c>
      <c r="B21" s="184"/>
      <c r="C21" s="184"/>
      <c r="D21" s="184"/>
      <c r="E21" s="184"/>
      <c r="F21" s="185"/>
      <c r="G21" s="184"/>
      <c r="H21" s="190">
        <f t="shared" si="2"/>
        <v>154.09090909129009</v>
      </c>
      <c r="I21" s="190">
        <f t="shared" si="3"/>
        <v>0.25088714672710921</v>
      </c>
      <c r="K21" s="287"/>
    </row>
    <row r="22" spans="1:11">
      <c r="A22" s="183" t="s">
        <v>90</v>
      </c>
      <c r="B22" s="184"/>
      <c r="C22" s="184"/>
      <c r="D22" s="184"/>
      <c r="E22" s="184"/>
      <c r="F22" s="185"/>
      <c r="G22" s="184"/>
      <c r="H22" s="190">
        <f t="shared" si="2"/>
        <v>154.09090909129009</v>
      </c>
      <c r="I22" s="190">
        <f t="shared" si="3"/>
        <v>0.25088714672710921</v>
      </c>
    </row>
    <row r="23" spans="1:11">
      <c r="A23" s="183" t="s">
        <v>91</v>
      </c>
      <c r="B23" s="184"/>
      <c r="C23" s="184"/>
      <c r="D23" s="184"/>
      <c r="E23" s="184"/>
      <c r="F23" s="185"/>
      <c r="G23" s="184"/>
      <c r="H23" s="190">
        <f t="shared" si="2"/>
        <v>154.09090909129009</v>
      </c>
      <c r="I23" s="190">
        <f t="shared" si="3"/>
        <v>0.25088714672710921</v>
      </c>
    </row>
    <row r="24" spans="1:11">
      <c r="A24" s="186" t="s">
        <v>92</v>
      </c>
      <c r="B24" s="184"/>
      <c r="C24" s="184"/>
      <c r="D24" s="184"/>
      <c r="E24" s="184"/>
      <c r="F24" s="185"/>
      <c r="G24" s="184"/>
      <c r="H24" s="190">
        <f t="shared" si="2"/>
        <v>154.09090909129009</v>
      </c>
      <c r="I24" s="190">
        <f t="shared" si="3"/>
        <v>0.25088714672710921</v>
      </c>
    </row>
    <row r="25" spans="1:11">
      <c r="A25" s="183" t="s">
        <v>93</v>
      </c>
      <c r="B25" s="184"/>
      <c r="C25" s="184"/>
      <c r="D25" s="184"/>
      <c r="E25" s="184"/>
      <c r="F25" s="185"/>
      <c r="G25" s="184"/>
      <c r="H25" s="190">
        <f t="shared" si="2"/>
        <v>154.09090909129009</v>
      </c>
      <c r="I25" s="190">
        <f t="shared" si="3"/>
        <v>0.25088714672710921</v>
      </c>
    </row>
    <row r="26" spans="1:11">
      <c r="A26" s="183" t="s">
        <v>94</v>
      </c>
      <c r="B26" s="184"/>
      <c r="C26" s="184"/>
      <c r="D26" s="184"/>
      <c r="E26" s="184"/>
      <c r="F26" s="185"/>
      <c r="G26" s="184"/>
      <c r="H26" s="190">
        <f t="shared" si="2"/>
        <v>154.09090909129009</v>
      </c>
      <c r="I26" s="190">
        <f t="shared" si="3"/>
        <v>0.25088714672710921</v>
      </c>
    </row>
    <row r="27" spans="1:11">
      <c r="A27" s="183" t="s">
        <v>95</v>
      </c>
      <c r="B27" s="184"/>
      <c r="C27" s="184"/>
      <c r="D27" s="184"/>
      <c r="E27" s="184"/>
      <c r="F27" s="185"/>
      <c r="G27" s="184"/>
      <c r="H27" s="190">
        <f t="shared" si="2"/>
        <v>154.09090909129009</v>
      </c>
      <c r="I27" s="190">
        <f t="shared" si="3"/>
        <v>0.25088714672710921</v>
      </c>
    </row>
    <row r="28" spans="1:11">
      <c r="A28" s="179" t="s">
        <v>1489</v>
      </c>
      <c r="B28" s="180">
        <v>2107400</v>
      </c>
      <c r="C28" s="181">
        <v>0</v>
      </c>
      <c r="D28" s="181">
        <f>SUM(D29:D40)</f>
        <v>0</v>
      </c>
      <c r="E28" s="181">
        <f>SUM(E29:E40)</f>
        <v>0</v>
      </c>
      <c r="F28" s="181">
        <f>SUM(F29:F40)</f>
        <v>2107400</v>
      </c>
      <c r="G28" s="181">
        <f>SUM(G29:G40)</f>
        <v>0</v>
      </c>
      <c r="H28" s="181">
        <f>B28+D28-F28</f>
        <v>0</v>
      </c>
      <c r="I28" s="181">
        <f>C28+E28-G28</f>
        <v>0</v>
      </c>
    </row>
    <row r="29" spans="1:11">
      <c r="A29" s="191" t="s">
        <v>84</v>
      </c>
      <c r="B29" s="187"/>
      <c r="C29" s="188"/>
      <c r="D29" s="188"/>
      <c r="E29" s="187"/>
      <c r="F29" s="189"/>
      <c r="G29" s="187"/>
      <c r="H29" s="190">
        <f>B28+D29-F29</f>
        <v>2107400</v>
      </c>
      <c r="I29" s="190">
        <f>C28+E29-G29</f>
        <v>0</v>
      </c>
    </row>
    <row r="30" spans="1:11">
      <c r="A30" s="191" t="s">
        <v>85</v>
      </c>
      <c r="B30" s="187"/>
      <c r="C30" s="188"/>
      <c r="D30" s="188"/>
      <c r="E30" s="187"/>
      <c r="F30" s="189"/>
      <c r="G30" s="187"/>
      <c r="H30" s="190">
        <f>H29+D30-F30</f>
        <v>2107400</v>
      </c>
      <c r="I30" s="190">
        <f>I29+E30-G30</f>
        <v>0</v>
      </c>
    </row>
    <row r="31" spans="1:11">
      <c r="A31" s="192" t="s">
        <v>86</v>
      </c>
      <c r="B31" s="184"/>
      <c r="C31" s="184"/>
      <c r="D31" s="184"/>
      <c r="E31" s="184"/>
      <c r="F31" s="185">
        <f>+GETPIVOTDATA("Somme de Spent  in XAF",$L$2,"Donor","UE")</f>
        <v>2107400</v>
      </c>
      <c r="G31" s="184"/>
      <c r="H31" s="190">
        <f t="shared" ref="H31:H40" si="4">H30+D31-F31</f>
        <v>0</v>
      </c>
      <c r="I31" s="190">
        <f t="shared" ref="I31:I40" si="5">I30+E31-G31</f>
        <v>0</v>
      </c>
    </row>
    <row r="32" spans="1:11">
      <c r="A32" s="191" t="s">
        <v>87</v>
      </c>
      <c r="B32" s="184"/>
      <c r="C32" s="184"/>
      <c r="D32" s="184"/>
      <c r="E32" s="184"/>
      <c r="F32" s="185"/>
      <c r="G32" s="184"/>
      <c r="H32" s="190">
        <f t="shared" si="4"/>
        <v>0</v>
      </c>
      <c r="I32" s="190">
        <f t="shared" si="5"/>
        <v>0</v>
      </c>
    </row>
    <row r="33" spans="1:10">
      <c r="A33" s="192" t="s">
        <v>88</v>
      </c>
      <c r="B33" s="184"/>
      <c r="C33" s="184"/>
      <c r="D33" s="184"/>
      <c r="E33" s="184"/>
      <c r="F33" s="185"/>
      <c r="G33" s="184"/>
      <c r="H33" s="190">
        <f t="shared" si="4"/>
        <v>0</v>
      </c>
      <c r="I33" s="190">
        <f t="shared" si="5"/>
        <v>0</v>
      </c>
    </row>
    <row r="34" spans="1:10">
      <c r="A34" s="183" t="s">
        <v>89</v>
      </c>
      <c r="B34" s="184"/>
      <c r="C34" s="184"/>
      <c r="D34" s="184"/>
      <c r="E34" s="184"/>
      <c r="F34" s="185"/>
      <c r="G34" s="184"/>
      <c r="H34" s="190">
        <f t="shared" si="4"/>
        <v>0</v>
      </c>
      <c r="I34" s="190">
        <f t="shared" si="5"/>
        <v>0</v>
      </c>
    </row>
    <row r="35" spans="1:10">
      <c r="A35" s="183" t="s">
        <v>90</v>
      </c>
      <c r="B35" s="184"/>
      <c r="C35" s="184"/>
      <c r="D35" s="184"/>
      <c r="E35" s="184"/>
      <c r="F35" s="185"/>
      <c r="G35" s="184"/>
      <c r="H35" s="190">
        <f t="shared" si="4"/>
        <v>0</v>
      </c>
      <c r="I35" s="190">
        <f t="shared" si="5"/>
        <v>0</v>
      </c>
    </row>
    <row r="36" spans="1:10">
      <c r="A36" s="183" t="s">
        <v>91</v>
      </c>
      <c r="B36" s="184"/>
      <c r="C36" s="184"/>
      <c r="D36" s="184"/>
      <c r="E36" s="184"/>
      <c r="F36" s="185"/>
      <c r="G36" s="184"/>
      <c r="H36" s="190">
        <f t="shared" si="4"/>
        <v>0</v>
      </c>
      <c r="I36" s="190">
        <f t="shared" si="5"/>
        <v>0</v>
      </c>
    </row>
    <row r="37" spans="1:10">
      <c r="A37" s="186" t="s">
        <v>92</v>
      </c>
      <c r="B37" s="184"/>
      <c r="C37" s="184"/>
      <c r="D37" s="184"/>
      <c r="E37" s="184"/>
      <c r="F37" s="185"/>
      <c r="G37" s="184"/>
      <c r="H37" s="190">
        <f t="shared" si="4"/>
        <v>0</v>
      </c>
      <c r="I37" s="190">
        <f t="shared" si="5"/>
        <v>0</v>
      </c>
    </row>
    <row r="38" spans="1:10">
      <c r="A38" s="183" t="s">
        <v>93</v>
      </c>
      <c r="B38" s="184"/>
      <c r="C38" s="184"/>
      <c r="D38" s="184"/>
      <c r="E38" s="184"/>
      <c r="F38" s="185"/>
      <c r="G38" s="184"/>
      <c r="H38" s="190">
        <f t="shared" si="4"/>
        <v>0</v>
      </c>
      <c r="I38" s="190">
        <f t="shared" si="5"/>
        <v>0</v>
      </c>
    </row>
    <row r="39" spans="1:10">
      <c r="A39" s="183" t="s">
        <v>94</v>
      </c>
      <c r="B39" s="184"/>
      <c r="C39" s="184"/>
      <c r="D39" s="184"/>
      <c r="E39" s="184"/>
      <c r="F39" s="185"/>
      <c r="G39" s="184"/>
      <c r="H39" s="190">
        <f t="shared" si="4"/>
        <v>0</v>
      </c>
      <c r="I39" s="190">
        <f t="shared" si="5"/>
        <v>0</v>
      </c>
    </row>
    <row r="40" spans="1:10">
      <c r="A40" s="193" t="s">
        <v>95</v>
      </c>
      <c r="B40" s="194"/>
      <c r="C40" s="194"/>
      <c r="D40" s="194"/>
      <c r="E40" s="194"/>
      <c r="F40" s="195"/>
      <c r="G40" s="194"/>
      <c r="H40" s="190">
        <f t="shared" si="4"/>
        <v>0</v>
      </c>
      <c r="I40" s="190">
        <f t="shared" si="5"/>
        <v>0</v>
      </c>
    </row>
    <row r="41" spans="1:10">
      <c r="A41" s="179" t="s">
        <v>1494</v>
      </c>
      <c r="B41" s="180">
        <f>C41*J41</f>
        <v>0</v>
      </c>
      <c r="C41" s="181">
        <v>0</v>
      </c>
      <c r="D41" s="181">
        <f>SUM(D42:D53)</f>
        <v>2898230</v>
      </c>
      <c r="E41" s="181">
        <f>SUM(E42:E53)</f>
        <v>5000</v>
      </c>
      <c r="F41" s="181">
        <f>SUM(F42:F53)</f>
        <v>2392885</v>
      </c>
      <c r="G41" s="181">
        <f>SUM(G42:G53)</f>
        <v>4128.1834084941502</v>
      </c>
      <c r="H41" s="181">
        <f>B41+D41-F41</f>
        <v>505345</v>
      </c>
      <c r="I41" s="181">
        <f>C41+E41-G41</f>
        <v>871.81659150584983</v>
      </c>
      <c r="J41" s="266">
        <f>+'Global data MARS 2025'!M418/5000</f>
        <v>579.64599999999996</v>
      </c>
    </row>
    <row r="42" spans="1:10">
      <c r="A42" s="191" t="s">
        <v>84</v>
      </c>
      <c r="B42" s="187"/>
      <c r="C42" s="188"/>
      <c r="D42" s="188"/>
      <c r="E42" s="187"/>
      <c r="F42" s="189"/>
      <c r="G42" s="187"/>
      <c r="H42" s="190">
        <f>B41+D42-F42</f>
        <v>0</v>
      </c>
      <c r="I42" s="190">
        <f>C41+E42-G42</f>
        <v>0</v>
      </c>
    </row>
    <row r="43" spans="1:10">
      <c r="A43" s="191" t="s">
        <v>85</v>
      </c>
      <c r="B43" s="187"/>
      <c r="C43" s="188"/>
      <c r="D43" s="188"/>
      <c r="E43" s="187"/>
      <c r="F43" s="189"/>
      <c r="G43" s="187"/>
      <c r="H43" s="190">
        <f>H42+D43-F43</f>
        <v>0</v>
      </c>
      <c r="I43" s="190">
        <f>I42+E43-G43</f>
        <v>0</v>
      </c>
    </row>
    <row r="44" spans="1:10">
      <c r="A44" s="192" t="s">
        <v>86</v>
      </c>
      <c r="B44" s="184"/>
      <c r="C44" s="184"/>
      <c r="D44" s="184">
        <f>+GETPIVOTDATA("Somme de Receved in XAF",$L$2,"Donor","OAT","Mois",3)</f>
        <v>2898230</v>
      </c>
      <c r="E44" s="184">
        <f>+GETPIVOTDATA("Somme de Receved  $",$L$2,"Donor","OAT","Mois",3)</f>
        <v>5000</v>
      </c>
      <c r="F44" s="185">
        <f>+GETPIVOTDATA("Somme de Spent  in XAF",$L$2,"Donor","OAT","Mois",3)</f>
        <v>2392885</v>
      </c>
      <c r="G44" s="184">
        <f>+GETPIVOTDATA("Somme de Spent in $",$L$2,"Donor","OAT","Mois",3)</f>
        <v>4128.1834084941502</v>
      </c>
      <c r="H44" s="190">
        <f t="shared" ref="H44:H53" si="6">H43+D44-F44</f>
        <v>505345</v>
      </c>
      <c r="I44" s="190">
        <f t="shared" ref="I44:I53" si="7">I43+E44-G44</f>
        <v>871.81659150584983</v>
      </c>
    </row>
    <row r="45" spans="1:10">
      <c r="A45" s="191" t="s">
        <v>87</v>
      </c>
      <c r="B45" s="184"/>
      <c r="C45" s="184"/>
      <c r="D45" s="184"/>
      <c r="E45" s="184"/>
      <c r="F45" s="185"/>
      <c r="G45" s="184"/>
      <c r="H45" s="190">
        <f t="shared" si="6"/>
        <v>505345</v>
      </c>
      <c r="I45" s="190">
        <f t="shared" si="7"/>
        <v>871.81659150584983</v>
      </c>
    </row>
    <row r="46" spans="1:10">
      <c r="A46" s="192" t="s">
        <v>88</v>
      </c>
      <c r="B46" s="184"/>
      <c r="C46" s="184"/>
      <c r="D46" s="184"/>
      <c r="E46" s="184"/>
      <c r="F46" s="185"/>
      <c r="G46" s="184"/>
      <c r="H46" s="190">
        <f t="shared" si="6"/>
        <v>505345</v>
      </c>
      <c r="I46" s="190">
        <f t="shared" si="7"/>
        <v>871.81659150584983</v>
      </c>
    </row>
    <row r="47" spans="1:10">
      <c r="A47" s="183" t="s">
        <v>89</v>
      </c>
      <c r="B47" s="184"/>
      <c r="C47" s="184"/>
      <c r="D47" s="184"/>
      <c r="E47" s="184"/>
      <c r="F47" s="185"/>
      <c r="G47" s="184"/>
      <c r="H47" s="190">
        <f t="shared" si="6"/>
        <v>505345</v>
      </c>
      <c r="I47" s="190">
        <f t="shared" si="7"/>
        <v>871.81659150584983</v>
      </c>
    </row>
    <row r="48" spans="1:10">
      <c r="A48" s="183" t="s">
        <v>90</v>
      </c>
      <c r="B48" s="184"/>
      <c r="C48" s="184"/>
      <c r="D48" s="184"/>
      <c r="E48" s="184"/>
      <c r="F48" s="185"/>
      <c r="G48" s="184"/>
      <c r="H48" s="190">
        <f t="shared" si="6"/>
        <v>505345</v>
      </c>
      <c r="I48" s="190">
        <f t="shared" si="7"/>
        <v>871.81659150584983</v>
      </c>
    </row>
    <row r="49" spans="1:10">
      <c r="A49" s="183" t="s">
        <v>91</v>
      </c>
      <c r="B49" s="184"/>
      <c r="C49" s="184"/>
      <c r="D49" s="184"/>
      <c r="E49" s="184"/>
      <c r="F49" s="185"/>
      <c r="G49" s="184"/>
      <c r="H49" s="190">
        <f t="shared" si="6"/>
        <v>505345</v>
      </c>
      <c r="I49" s="190">
        <f t="shared" si="7"/>
        <v>871.81659150584983</v>
      </c>
    </row>
    <row r="50" spans="1:10">
      <c r="A50" s="186" t="s">
        <v>92</v>
      </c>
      <c r="B50" s="184"/>
      <c r="C50" s="184"/>
      <c r="D50" s="184"/>
      <c r="E50" s="184"/>
      <c r="F50" s="185"/>
      <c r="G50" s="184"/>
      <c r="H50" s="190">
        <f t="shared" si="6"/>
        <v>505345</v>
      </c>
      <c r="I50" s="190">
        <f t="shared" si="7"/>
        <v>871.81659150584983</v>
      </c>
    </row>
    <row r="51" spans="1:10">
      <c r="A51" s="183" t="s">
        <v>93</v>
      </c>
      <c r="B51" s="184"/>
      <c r="C51" s="184"/>
      <c r="D51" s="184"/>
      <c r="E51" s="184"/>
      <c r="F51" s="185"/>
      <c r="G51" s="184"/>
      <c r="H51" s="190">
        <f t="shared" si="6"/>
        <v>505345</v>
      </c>
      <c r="I51" s="190">
        <f t="shared" si="7"/>
        <v>871.81659150584983</v>
      </c>
    </row>
    <row r="52" spans="1:10">
      <c r="A52" s="183" t="s">
        <v>94</v>
      </c>
      <c r="B52" s="184"/>
      <c r="C52" s="184"/>
      <c r="D52" s="184"/>
      <c r="E52" s="184"/>
      <c r="F52" s="185"/>
      <c r="G52" s="184"/>
      <c r="H52" s="190">
        <f t="shared" si="6"/>
        <v>505345</v>
      </c>
      <c r="I52" s="190">
        <f t="shared" si="7"/>
        <v>871.81659150584983</v>
      </c>
    </row>
    <row r="53" spans="1:10">
      <c r="A53" s="193" t="s">
        <v>95</v>
      </c>
      <c r="B53" s="194"/>
      <c r="C53" s="194"/>
      <c r="D53" s="194"/>
      <c r="E53" s="194"/>
      <c r="F53" s="195"/>
      <c r="G53" s="194"/>
      <c r="H53" s="190">
        <f t="shared" si="6"/>
        <v>505345</v>
      </c>
      <c r="I53" s="190">
        <f t="shared" si="7"/>
        <v>871.81659150584983</v>
      </c>
    </row>
    <row r="54" spans="1:10">
      <c r="A54" s="179" t="s">
        <v>211</v>
      </c>
      <c r="B54" s="180">
        <f>C54*J54</f>
        <v>13324442.904550143</v>
      </c>
      <c r="C54" s="181">
        <v>23002.880000000001</v>
      </c>
      <c r="D54" s="181">
        <f>SUM(D55:D66)</f>
        <v>17389380</v>
      </c>
      <c r="E54" s="181">
        <f>SUM(E55:E66)</f>
        <v>30000</v>
      </c>
      <c r="F54" s="181">
        <f>SUM(F55:F66)</f>
        <v>19379270</v>
      </c>
      <c r="G54" s="181">
        <f>SUM(G55:G66)</f>
        <v>33442.116168022359</v>
      </c>
      <c r="H54" s="181">
        <f>B54+D54-F54</f>
        <v>11334552.904550143</v>
      </c>
      <c r="I54" s="181">
        <f>C54+E54-G54</f>
        <v>19560.763831977645</v>
      </c>
      <c r="J54" s="266">
        <f>12020039/20751</f>
        <v>579.2510722374825</v>
      </c>
    </row>
    <row r="55" spans="1:10">
      <c r="A55" s="191" t="s">
        <v>84</v>
      </c>
      <c r="B55" s="187"/>
      <c r="C55" s="188"/>
      <c r="D55" s="188"/>
      <c r="E55" s="187"/>
      <c r="F55" s="189"/>
      <c r="G55" s="187"/>
      <c r="H55" s="190">
        <f>B54+D55-F55</f>
        <v>13324442.904550143</v>
      </c>
      <c r="I55" s="190">
        <f>C54+E55-G55</f>
        <v>23002.880000000001</v>
      </c>
    </row>
    <row r="56" spans="1:10">
      <c r="A56" s="191" t="s">
        <v>85</v>
      </c>
      <c r="B56" s="187"/>
      <c r="C56" s="188"/>
      <c r="D56" s="188"/>
      <c r="E56" s="187"/>
      <c r="F56" s="189">
        <f>+GETPIVOTDATA("Somme de Spent  in XAF",$L$2,"Donor","OAK","Mois",2)</f>
        <v>1526722</v>
      </c>
      <c r="G56" s="187">
        <f>+GETPIVOTDATA("Somme de Spent in $",$L$2,"Donor","OAK","Mois",2)</f>
        <v>2635.6825217940896</v>
      </c>
      <c r="H56" s="190">
        <f>H55+D56-F56</f>
        <v>11797720.904550143</v>
      </c>
      <c r="I56" s="190">
        <f>I55+E56-G56</f>
        <v>20367.197478205911</v>
      </c>
    </row>
    <row r="57" spans="1:10">
      <c r="A57" s="192" t="s">
        <v>86</v>
      </c>
      <c r="B57" s="184"/>
      <c r="C57" s="184"/>
      <c r="D57" s="184">
        <f>+GETPIVOTDATA("Somme de Receved in XAF",$L$2,"Donor","OAK","Mois",3)</f>
        <v>17389380</v>
      </c>
      <c r="E57" s="184">
        <f>+GETPIVOTDATA("Somme de Receved  $",$L$2,"Donor","OAK","Mois",3)</f>
        <v>30000</v>
      </c>
      <c r="F57" s="185">
        <f>+GETPIVOTDATA("Somme de Spent  in XAF",$L$2,"Donor","OAK","Mois",3)</f>
        <v>17852548</v>
      </c>
      <c r="G57" s="184">
        <f>+GETPIVOTDATA("Somme de Spent in $",$L$2,"Donor","OAK","Mois",3)</f>
        <v>30806.433646228274</v>
      </c>
      <c r="H57" s="190">
        <f t="shared" ref="H57:H66" si="8">H56+D57-F57</f>
        <v>11334552.904550143</v>
      </c>
      <c r="I57" s="190">
        <f t="shared" ref="I57:I66" si="9">I56+E57-G57</f>
        <v>19560.763831977638</v>
      </c>
    </row>
    <row r="58" spans="1:10">
      <c r="A58" s="191" t="s">
        <v>87</v>
      </c>
      <c r="B58" s="184"/>
      <c r="C58" s="184"/>
      <c r="D58" s="184"/>
      <c r="E58" s="184"/>
      <c r="F58" s="185"/>
      <c r="G58" s="184"/>
      <c r="H58" s="190">
        <f t="shared" si="8"/>
        <v>11334552.904550143</v>
      </c>
      <c r="I58" s="190">
        <f t="shared" si="9"/>
        <v>19560.763831977638</v>
      </c>
    </row>
    <row r="59" spans="1:10">
      <c r="A59" s="192" t="s">
        <v>88</v>
      </c>
      <c r="B59" s="184"/>
      <c r="C59" s="184"/>
      <c r="D59" s="184"/>
      <c r="E59" s="184"/>
      <c r="F59" s="185"/>
      <c r="G59" s="184"/>
      <c r="H59" s="190">
        <f t="shared" si="8"/>
        <v>11334552.904550143</v>
      </c>
      <c r="I59" s="190">
        <f t="shared" si="9"/>
        <v>19560.763831977638</v>
      </c>
    </row>
    <row r="60" spans="1:10">
      <c r="A60" s="183" t="s">
        <v>89</v>
      </c>
      <c r="B60" s="184"/>
      <c r="C60" s="184"/>
      <c r="D60" s="184"/>
      <c r="E60" s="184"/>
      <c r="F60" s="185"/>
      <c r="G60" s="184"/>
      <c r="H60" s="190">
        <f t="shared" si="8"/>
        <v>11334552.904550143</v>
      </c>
      <c r="I60" s="190">
        <f t="shared" si="9"/>
        <v>19560.763831977638</v>
      </c>
    </row>
    <row r="61" spans="1:10">
      <c r="A61" s="183" t="s">
        <v>90</v>
      </c>
      <c r="B61" s="184"/>
      <c r="C61" s="184"/>
      <c r="D61" s="184"/>
      <c r="E61" s="184"/>
      <c r="F61" s="185"/>
      <c r="G61" s="184"/>
      <c r="H61" s="190">
        <f t="shared" si="8"/>
        <v>11334552.904550143</v>
      </c>
      <c r="I61" s="190">
        <f t="shared" si="9"/>
        <v>19560.763831977638</v>
      </c>
    </row>
    <row r="62" spans="1:10">
      <c r="A62" s="183" t="s">
        <v>91</v>
      </c>
      <c r="B62" s="184"/>
      <c r="C62" s="184"/>
      <c r="D62" s="184"/>
      <c r="E62" s="184"/>
      <c r="F62" s="185"/>
      <c r="G62" s="184"/>
      <c r="H62" s="190">
        <f t="shared" si="8"/>
        <v>11334552.904550143</v>
      </c>
      <c r="I62" s="190">
        <f t="shared" si="9"/>
        <v>19560.763831977638</v>
      </c>
    </row>
    <row r="63" spans="1:10">
      <c r="A63" s="186" t="s">
        <v>92</v>
      </c>
      <c r="B63" s="184"/>
      <c r="C63" s="184"/>
      <c r="D63" s="184"/>
      <c r="E63" s="184"/>
      <c r="F63" s="185"/>
      <c r="G63" s="184"/>
      <c r="H63" s="190">
        <f t="shared" si="8"/>
        <v>11334552.904550143</v>
      </c>
      <c r="I63" s="190">
        <f t="shared" si="9"/>
        <v>19560.763831977638</v>
      </c>
    </row>
    <row r="64" spans="1:10">
      <c r="A64" s="183" t="s">
        <v>93</v>
      </c>
      <c r="B64" s="184"/>
      <c r="C64" s="184"/>
      <c r="D64" s="184"/>
      <c r="E64" s="184"/>
      <c r="F64" s="185"/>
      <c r="G64" s="184"/>
      <c r="H64" s="190">
        <f t="shared" si="8"/>
        <v>11334552.904550143</v>
      </c>
      <c r="I64" s="190">
        <f t="shared" si="9"/>
        <v>19560.763831977638</v>
      </c>
    </row>
    <row r="65" spans="1:10">
      <c r="A65" s="183" t="s">
        <v>94</v>
      </c>
      <c r="B65" s="184"/>
      <c r="C65" s="184"/>
      <c r="D65" s="184"/>
      <c r="E65" s="184"/>
      <c r="F65" s="185"/>
      <c r="G65" s="184"/>
      <c r="H65" s="190">
        <f t="shared" si="8"/>
        <v>11334552.904550143</v>
      </c>
      <c r="I65" s="190">
        <f t="shared" si="9"/>
        <v>19560.763831977638</v>
      </c>
    </row>
    <row r="66" spans="1:10">
      <c r="A66" s="193" t="s">
        <v>95</v>
      </c>
      <c r="B66" s="194"/>
      <c r="C66" s="194"/>
      <c r="D66" s="194"/>
      <c r="E66" s="194"/>
      <c r="F66" s="195"/>
      <c r="G66" s="194"/>
      <c r="H66" s="190">
        <f t="shared" si="8"/>
        <v>11334552.904550143</v>
      </c>
      <c r="I66" s="190">
        <f t="shared" si="9"/>
        <v>19560.763831977638</v>
      </c>
    </row>
    <row r="67" spans="1:10" ht="14.4" thickBot="1">
      <c r="A67" s="179" t="s">
        <v>556</v>
      </c>
      <c r="B67" s="180">
        <f>-3843275.7-B28</f>
        <v>-5950675.7000000002</v>
      </c>
      <c r="C67" s="180">
        <f>B67/J67</f>
        <v>-10017.97255892256</v>
      </c>
      <c r="D67" s="180"/>
      <c r="E67" s="181"/>
      <c r="F67" s="180"/>
      <c r="G67" s="182"/>
      <c r="H67" s="180">
        <f>+B67</f>
        <v>-5950675.7000000002</v>
      </c>
      <c r="I67" s="181">
        <f>+C67</f>
        <v>-10017.97255892256</v>
      </c>
      <c r="J67" s="266">
        <v>594</v>
      </c>
    </row>
    <row r="68" spans="1:10" ht="14.4" thickBot="1">
      <c r="A68" s="196" t="s">
        <v>96</v>
      </c>
      <c r="B68" s="180">
        <f>B67+B54+B15+B2+B28</f>
        <v>11338912.998175567</v>
      </c>
      <c r="C68" s="180">
        <f>C67+C54+C15+C2</f>
        <v>15953.077441077441</v>
      </c>
      <c r="D68" s="180">
        <f>D67+D54+D15+D2</f>
        <v>35275177</v>
      </c>
      <c r="E68" s="180">
        <f>E67+E54+E15+E2</f>
        <v>60000</v>
      </c>
      <c r="F68" s="180">
        <f>F67+F54+F15+F2</f>
        <v>39122199</v>
      </c>
      <c r="G68" s="180">
        <f>G67+G54+G15+G2</f>
        <v>66714.709783754326</v>
      </c>
      <c r="H68" s="180">
        <f>H67+H54+H15+H2+H41+H28</f>
        <v>5889835.998175567</v>
      </c>
      <c r="I68" s="180">
        <f>I67+I54+I15+I2+I28+I41</f>
        <v>10110.184248828962</v>
      </c>
    </row>
    <row r="70" spans="1:10">
      <c r="A70" s="253"/>
      <c r="B70" s="253">
        <v>11338913</v>
      </c>
      <c r="C70" s="253"/>
      <c r="D70" s="253"/>
      <c r="F70" t="s">
        <v>97</v>
      </c>
      <c r="H70" s="243">
        <f>Balance!I29</f>
        <v>5889836</v>
      </c>
    </row>
    <row r="71" spans="1:10">
      <c r="A71" s="253"/>
      <c r="B71" s="253">
        <f>B68-B70</f>
        <v>-1.8244329839944839E-3</v>
      </c>
      <c r="C71" s="253"/>
      <c r="D71" s="253"/>
      <c r="F71" t="s">
        <v>52</v>
      </c>
      <c r="H71" s="253">
        <f>H68-H70</f>
        <v>-1.8244329839944839E-3</v>
      </c>
    </row>
    <row r="72" spans="1:10">
      <c r="B72" s="243"/>
    </row>
    <row r="73" spans="1:10">
      <c r="B73" s="259"/>
    </row>
    <row r="74" spans="1:10">
      <c r="B74" s="259"/>
    </row>
  </sheetData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7"/>
  <sheetViews>
    <sheetView workbookViewId="0">
      <pane ySplit="1" topLeftCell="A2" activePane="bottomLeft" state="frozen"/>
      <selection pane="bottomLeft" activeCell="B165" sqref="B165"/>
    </sheetView>
  </sheetViews>
  <sheetFormatPr baseColWidth="10" defaultColWidth="8.796875" defaultRowHeight="13.8"/>
  <cols>
    <col min="1" max="1" width="12.796875" style="70" customWidth="1"/>
    <col min="2" max="2" width="82" customWidth="1"/>
    <col min="3" max="3" width="20.796875" customWidth="1"/>
    <col min="4" max="4" width="12.796875" customWidth="1"/>
    <col min="5" max="5" width="12.796875" style="72" customWidth="1"/>
    <col min="6" max="6" width="17.796875" style="72" customWidth="1"/>
    <col min="7" max="7" width="15.3984375" customWidth="1"/>
    <col min="8" max="14" width="12.796875" customWidth="1"/>
    <col min="15" max="15" width="28.3984375" customWidth="1"/>
  </cols>
  <sheetData>
    <row r="1" spans="1:15" ht="14.4">
      <c r="A1" s="1" t="s">
        <v>0</v>
      </c>
      <c r="B1" s="2" t="s">
        <v>1</v>
      </c>
      <c r="C1" s="2" t="s">
        <v>2</v>
      </c>
      <c r="D1" s="2" t="s">
        <v>3</v>
      </c>
      <c r="E1" s="71" t="s">
        <v>153</v>
      </c>
      <c r="F1" s="73" t="s">
        <v>4</v>
      </c>
      <c r="G1" s="3" t="s">
        <v>5</v>
      </c>
      <c r="H1" s="4" t="s">
        <v>10</v>
      </c>
      <c r="I1" s="4" t="s">
        <v>6</v>
      </c>
      <c r="J1" s="4" t="s">
        <v>7</v>
      </c>
      <c r="K1" s="5" t="s">
        <v>8</v>
      </c>
      <c r="L1" s="4" t="s">
        <v>9</v>
      </c>
      <c r="M1" s="71" t="s">
        <v>562</v>
      </c>
      <c r="N1" s="73" t="s">
        <v>563</v>
      </c>
      <c r="O1" s="4" t="s">
        <v>73</v>
      </c>
    </row>
    <row r="2" spans="1:15">
      <c r="A2" s="296">
        <v>45717</v>
      </c>
      <c r="B2" s="215" t="s">
        <v>1454</v>
      </c>
      <c r="C2" s="215" t="s">
        <v>526</v>
      </c>
      <c r="D2" s="215" t="s">
        <v>524</v>
      </c>
      <c r="E2" s="222">
        <v>75000</v>
      </c>
      <c r="F2" s="283">
        <f>+E2/G2</f>
        <v>129.47754945610797</v>
      </c>
      <c r="G2" s="222">
        <v>579.25099999999998</v>
      </c>
      <c r="H2" s="215" t="s">
        <v>209</v>
      </c>
      <c r="I2" s="215" t="s">
        <v>1496</v>
      </c>
      <c r="J2" s="215" t="s">
        <v>100</v>
      </c>
      <c r="K2" s="215" t="s">
        <v>211</v>
      </c>
      <c r="L2" s="215" t="s">
        <v>159</v>
      </c>
      <c r="M2" s="215"/>
      <c r="N2" s="215"/>
      <c r="O2" s="77"/>
    </row>
    <row r="3" spans="1:15">
      <c r="A3" s="296">
        <v>45717</v>
      </c>
      <c r="B3" s="215" t="s">
        <v>1382</v>
      </c>
      <c r="C3" s="215" t="s">
        <v>179</v>
      </c>
      <c r="D3" s="215" t="s">
        <v>120</v>
      </c>
      <c r="E3" s="222">
        <v>7000</v>
      </c>
      <c r="F3" s="283">
        <f t="shared" ref="F3:F66" si="0">+E3/G3</f>
        <v>12.084571282570078</v>
      </c>
      <c r="G3" s="222">
        <v>579.25099999999998</v>
      </c>
      <c r="H3" s="215" t="s">
        <v>198</v>
      </c>
      <c r="I3" s="215" t="s">
        <v>1383</v>
      </c>
      <c r="J3" s="215" t="s">
        <v>100</v>
      </c>
      <c r="K3" s="215" t="s">
        <v>211</v>
      </c>
      <c r="L3" s="215" t="s">
        <v>159</v>
      </c>
      <c r="M3" s="77"/>
      <c r="N3" s="77"/>
      <c r="O3" s="77"/>
    </row>
    <row r="4" spans="1:15">
      <c r="A4" s="296">
        <v>45717</v>
      </c>
      <c r="B4" s="215" t="s">
        <v>1384</v>
      </c>
      <c r="C4" s="215" t="s">
        <v>526</v>
      </c>
      <c r="D4" s="215" t="s">
        <v>120</v>
      </c>
      <c r="E4" s="222">
        <v>135000</v>
      </c>
      <c r="F4" s="283">
        <f t="shared" si="0"/>
        <v>233.05958902099437</v>
      </c>
      <c r="G4" s="222">
        <v>579.25099999999998</v>
      </c>
      <c r="H4" s="215" t="s">
        <v>198</v>
      </c>
      <c r="I4" s="215" t="s">
        <v>1385</v>
      </c>
      <c r="J4" s="215" t="s">
        <v>100</v>
      </c>
      <c r="K4" s="215" t="s">
        <v>211</v>
      </c>
      <c r="L4" s="215" t="s">
        <v>159</v>
      </c>
      <c r="M4" s="77"/>
      <c r="N4" s="77"/>
      <c r="O4" s="77"/>
    </row>
    <row r="5" spans="1:15">
      <c r="A5" s="296">
        <v>45719</v>
      </c>
      <c r="B5" s="215" t="s">
        <v>931</v>
      </c>
      <c r="C5" s="215" t="s">
        <v>155</v>
      </c>
      <c r="D5" s="215" t="s">
        <v>122</v>
      </c>
      <c r="E5" s="222">
        <v>47000</v>
      </c>
      <c r="F5" s="283">
        <f t="shared" si="0"/>
        <v>81.139264325827668</v>
      </c>
      <c r="G5" s="222">
        <v>579.25099999999998</v>
      </c>
      <c r="H5" s="215" t="s">
        <v>161</v>
      </c>
      <c r="I5" s="215" t="s">
        <v>1070</v>
      </c>
      <c r="J5" s="215" t="s">
        <v>100</v>
      </c>
      <c r="K5" s="215" t="s">
        <v>211</v>
      </c>
      <c r="L5" s="215" t="s">
        <v>159</v>
      </c>
      <c r="M5" s="215"/>
      <c r="N5" s="215"/>
      <c r="O5" s="77"/>
    </row>
    <row r="6" spans="1:15">
      <c r="A6" s="296">
        <v>45719</v>
      </c>
      <c r="B6" s="215" t="s">
        <v>932</v>
      </c>
      <c r="C6" s="215" t="s">
        <v>155</v>
      </c>
      <c r="D6" s="215" t="s">
        <v>120</v>
      </c>
      <c r="E6" s="222">
        <v>74000</v>
      </c>
      <c r="F6" s="283">
        <f t="shared" si="0"/>
        <v>127.75118213002654</v>
      </c>
      <c r="G6" s="222">
        <v>579.25099999999998</v>
      </c>
      <c r="H6" s="215" t="s">
        <v>161</v>
      </c>
      <c r="I6" s="215" t="s">
        <v>1071</v>
      </c>
      <c r="J6" s="215" t="s">
        <v>100</v>
      </c>
      <c r="K6" s="215" t="s">
        <v>211</v>
      </c>
      <c r="L6" s="215" t="s">
        <v>159</v>
      </c>
      <c r="M6" s="215"/>
      <c r="N6" s="215"/>
      <c r="O6" s="77"/>
    </row>
    <row r="7" spans="1:15">
      <c r="A7" s="296">
        <v>45719</v>
      </c>
      <c r="B7" s="215" t="s">
        <v>933</v>
      </c>
      <c r="C7" s="215" t="s">
        <v>155</v>
      </c>
      <c r="D7" s="215" t="s">
        <v>124</v>
      </c>
      <c r="E7" s="222">
        <v>88000</v>
      </c>
      <c r="F7" s="283">
        <f t="shared" si="0"/>
        <v>151.9203246951667</v>
      </c>
      <c r="G7" s="222">
        <v>579.25099999999998</v>
      </c>
      <c r="H7" s="215" t="s">
        <v>161</v>
      </c>
      <c r="I7" s="215" t="s">
        <v>1072</v>
      </c>
      <c r="J7" s="215" t="s">
        <v>100</v>
      </c>
      <c r="K7" s="215" t="s">
        <v>211</v>
      </c>
      <c r="L7" s="215" t="s">
        <v>159</v>
      </c>
      <c r="M7" s="215"/>
      <c r="N7" s="215"/>
      <c r="O7" s="77"/>
    </row>
    <row r="8" spans="1:15">
      <c r="A8" s="296">
        <v>45719</v>
      </c>
      <c r="B8" s="215" t="s">
        <v>934</v>
      </c>
      <c r="C8" s="215" t="s">
        <v>155</v>
      </c>
      <c r="D8" s="215" t="s">
        <v>123</v>
      </c>
      <c r="E8" s="222">
        <v>10000</v>
      </c>
      <c r="F8" s="283">
        <f t="shared" si="0"/>
        <v>17.263673260814397</v>
      </c>
      <c r="G8" s="222">
        <v>579.25099999999998</v>
      </c>
      <c r="H8" s="215" t="s">
        <v>161</v>
      </c>
      <c r="I8" s="215" t="s">
        <v>1073</v>
      </c>
      <c r="J8" s="215" t="s">
        <v>100</v>
      </c>
      <c r="K8" s="215" t="s">
        <v>211</v>
      </c>
      <c r="L8" s="215" t="s">
        <v>159</v>
      </c>
      <c r="M8" s="215"/>
      <c r="N8" s="215"/>
      <c r="O8" s="77"/>
    </row>
    <row r="9" spans="1:15">
      <c r="A9" s="296">
        <v>45719</v>
      </c>
      <c r="B9" s="215" t="s">
        <v>935</v>
      </c>
      <c r="C9" s="215" t="s">
        <v>155</v>
      </c>
      <c r="D9" s="215" t="s">
        <v>120</v>
      </c>
      <c r="E9" s="222">
        <v>10000</v>
      </c>
      <c r="F9" s="283">
        <f t="shared" si="0"/>
        <v>17.263673260814397</v>
      </c>
      <c r="G9" s="222">
        <v>579.25099999999998</v>
      </c>
      <c r="H9" s="215" t="s">
        <v>161</v>
      </c>
      <c r="I9" s="215" t="s">
        <v>1074</v>
      </c>
      <c r="J9" s="215" t="s">
        <v>100</v>
      </c>
      <c r="K9" s="215" t="s">
        <v>211</v>
      </c>
      <c r="L9" s="215" t="s">
        <v>159</v>
      </c>
      <c r="M9" s="215"/>
      <c r="N9" s="215"/>
      <c r="O9" s="77"/>
    </row>
    <row r="10" spans="1:15">
      <c r="A10" s="296">
        <v>45719</v>
      </c>
      <c r="B10" s="215" t="s">
        <v>936</v>
      </c>
      <c r="C10" s="215" t="s">
        <v>155</v>
      </c>
      <c r="D10" s="215" t="s">
        <v>124</v>
      </c>
      <c r="E10" s="222">
        <v>16000</v>
      </c>
      <c r="F10" s="283">
        <f t="shared" si="0"/>
        <v>27.621877217303034</v>
      </c>
      <c r="G10" s="222">
        <v>579.25099999999998</v>
      </c>
      <c r="H10" s="215" t="s">
        <v>161</v>
      </c>
      <c r="I10" s="215" t="s">
        <v>1075</v>
      </c>
      <c r="J10" s="215" t="s">
        <v>100</v>
      </c>
      <c r="K10" s="215" t="s">
        <v>211</v>
      </c>
      <c r="L10" s="215" t="s">
        <v>159</v>
      </c>
      <c r="M10" s="215"/>
      <c r="N10" s="215"/>
      <c r="O10" s="77"/>
    </row>
    <row r="11" spans="1:15">
      <c r="A11" s="296">
        <v>45719</v>
      </c>
      <c r="B11" s="215" t="s">
        <v>937</v>
      </c>
      <c r="C11" s="215" t="s">
        <v>155</v>
      </c>
      <c r="D11" s="215" t="s">
        <v>123</v>
      </c>
      <c r="E11" s="222">
        <v>11000</v>
      </c>
      <c r="F11" s="283">
        <f t="shared" si="0"/>
        <v>18.990040586895837</v>
      </c>
      <c r="G11" s="222">
        <v>579.25099999999998</v>
      </c>
      <c r="H11" s="215" t="s">
        <v>161</v>
      </c>
      <c r="I11" s="215" t="s">
        <v>1076</v>
      </c>
      <c r="J11" s="215" t="s">
        <v>100</v>
      </c>
      <c r="K11" s="215" t="s">
        <v>211</v>
      </c>
      <c r="L11" s="215" t="s">
        <v>159</v>
      </c>
      <c r="M11" s="215"/>
      <c r="N11" s="215"/>
      <c r="O11" s="77"/>
    </row>
    <row r="12" spans="1:15">
      <c r="A12" s="296">
        <v>45719</v>
      </c>
      <c r="B12" s="215" t="s">
        <v>938</v>
      </c>
      <c r="C12" s="215" t="s">
        <v>939</v>
      </c>
      <c r="D12" s="215" t="s">
        <v>120</v>
      </c>
      <c r="E12" s="222">
        <v>65000</v>
      </c>
      <c r="F12" s="283">
        <f t="shared" si="0"/>
        <v>112.21387619529358</v>
      </c>
      <c r="G12" s="222">
        <v>579.25099999999998</v>
      </c>
      <c r="H12" s="215" t="s">
        <v>161</v>
      </c>
      <c r="I12" s="215" t="s">
        <v>1077</v>
      </c>
      <c r="J12" s="215" t="s">
        <v>100</v>
      </c>
      <c r="K12" s="215" t="s">
        <v>211</v>
      </c>
      <c r="L12" s="215" t="s">
        <v>159</v>
      </c>
      <c r="M12" s="215"/>
      <c r="N12" s="215"/>
      <c r="O12" s="77"/>
    </row>
    <row r="13" spans="1:15">
      <c r="A13" s="296">
        <v>45719</v>
      </c>
      <c r="B13" s="215" t="s">
        <v>943</v>
      </c>
      <c r="C13" s="215" t="s">
        <v>278</v>
      </c>
      <c r="D13" s="215" t="s">
        <v>208</v>
      </c>
      <c r="E13" s="222">
        <v>45000</v>
      </c>
      <c r="F13" s="283">
        <f t="shared" si="0"/>
        <v>77.686529673664793</v>
      </c>
      <c r="G13" s="222">
        <v>579.25099999999998</v>
      </c>
      <c r="H13" s="215" t="s">
        <v>161</v>
      </c>
      <c r="I13" s="215" t="s">
        <v>1125</v>
      </c>
      <c r="J13" s="215" t="s">
        <v>100</v>
      </c>
      <c r="K13" s="215" t="s">
        <v>211</v>
      </c>
      <c r="L13" s="215" t="s">
        <v>159</v>
      </c>
      <c r="M13" s="215"/>
      <c r="N13" s="215"/>
      <c r="O13" s="215"/>
    </row>
    <row r="14" spans="1:15">
      <c r="A14" s="296">
        <v>45719</v>
      </c>
      <c r="B14" s="215" t="s">
        <v>658</v>
      </c>
      <c r="C14" s="215" t="s">
        <v>130</v>
      </c>
      <c r="D14" s="215" t="s">
        <v>123</v>
      </c>
      <c r="E14" s="222">
        <v>30000</v>
      </c>
      <c r="F14" s="283">
        <f t="shared" si="0"/>
        <v>51.791019782443193</v>
      </c>
      <c r="G14" s="222">
        <v>579.25099999999998</v>
      </c>
      <c r="H14" s="215" t="s">
        <v>161</v>
      </c>
      <c r="I14" s="215" t="s">
        <v>1126</v>
      </c>
      <c r="J14" s="215" t="s">
        <v>100</v>
      </c>
      <c r="K14" s="215" t="s">
        <v>211</v>
      </c>
      <c r="L14" s="215" t="s">
        <v>159</v>
      </c>
      <c r="M14" s="215"/>
      <c r="N14" s="215"/>
      <c r="O14" s="77"/>
    </row>
    <row r="15" spans="1:15">
      <c r="A15" s="296">
        <v>45719</v>
      </c>
      <c r="B15" s="215" t="s">
        <v>648</v>
      </c>
      <c r="C15" s="215" t="s">
        <v>130</v>
      </c>
      <c r="D15" s="215" t="s">
        <v>121</v>
      </c>
      <c r="E15" s="222">
        <v>94430</v>
      </c>
      <c r="F15" s="283">
        <f t="shared" si="0"/>
        <v>163.02086660187035</v>
      </c>
      <c r="G15" s="222">
        <v>579.25099999999998</v>
      </c>
      <c r="H15" s="215" t="s">
        <v>161</v>
      </c>
      <c r="I15" s="215" t="s">
        <v>1127</v>
      </c>
      <c r="J15" s="215" t="s">
        <v>100</v>
      </c>
      <c r="K15" s="215" t="s">
        <v>211</v>
      </c>
      <c r="L15" s="215" t="s">
        <v>159</v>
      </c>
      <c r="M15" s="215"/>
      <c r="N15" s="215"/>
      <c r="O15" s="77"/>
    </row>
    <row r="16" spans="1:15">
      <c r="A16" s="296">
        <v>45719</v>
      </c>
      <c r="B16" s="215" t="s">
        <v>944</v>
      </c>
      <c r="C16" s="215" t="s">
        <v>278</v>
      </c>
      <c r="D16" s="215" t="s">
        <v>208</v>
      </c>
      <c r="E16" s="222">
        <v>20000</v>
      </c>
      <c r="F16" s="283">
        <f t="shared" si="0"/>
        <v>34.527346521628793</v>
      </c>
      <c r="G16" s="222">
        <v>579.25099999999998</v>
      </c>
      <c r="H16" s="215" t="s">
        <v>161</v>
      </c>
      <c r="I16" s="215" t="s">
        <v>1128</v>
      </c>
      <c r="J16" s="215" t="s">
        <v>100</v>
      </c>
      <c r="K16" s="215" t="s">
        <v>211</v>
      </c>
      <c r="L16" s="215" t="s">
        <v>159</v>
      </c>
      <c r="M16" s="215"/>
      <c r="N16" s="215"/>
      <c r="O16" s="77"/>
    </row>
    <row r="17" spans="1:15">
      <c r="A17" s="296">
        <v>45719</v>
      </c>
      <c r="B17" s="215" t="s">
        <v>946</v>
      </c>
      <c r="C17" s="215" t="s">
        <v>278</v>
      </c>
      <c r="D17" s="215" t="s">
        <v>208</v>
      </c>
      <c r="E17" s="222">
        <v>45000</v>
      </c>
      <c r="F17" s="283">
        <f t="shared" si="0"/>
        <v>77.686529673664793</v>
      </c>
      <c r="G17" s="222">
        <v>579.25099999999998</v>
      </c>
      <c r="H17" s="215" t="s">
        <v>161</v>
      </c>
      <c r="I17" s="215" t="s">
        <v>1130</v>
      </c>
      <c r="J17" s="215" t="s">
        <v>100</v>
      </c>
      <c r="K17" s="215" t="s">
        <v>211</v>
      </c>
      <c r="L17" s="215" t="s">
        <v>159</v>
      </c>
      <c r="M17" s="215"/>
      <c r="N17" s="215"/>
      <c r="O17" s="77"/>
    </row>
    <row r="18" spans="1:15">
      <c r="A18" s="296">
        <v>45719</v>
      </c>
      <c r="B18" s="215" t="s">
        <v>654</v>
      </c>
      <c r="C18" s="215" t="s">
        <v>130</v>
      </c>
      <c r="D18" s="215" t="s">
        <v>120</v>
      </c>
      <c r="E18" s="222">
        <v>30000</v>
      </c>
      <c r="F18" s="283">
        <f t="shared" si="0"/>
        <v>51.791019782443193</v>
      </c>
      <c r="G18" s="222">
        <v>579.25099999999998</v>
      </c>
      <c r="H18" s="215" t="s">
        <v>161</v>
      </c>
      <c r="I18" s="215" t="s">
        <v>1131</v>
      </c>
      <c r="J18" s="215" t="s">
        <v>100</v>
      </c>
      <c r="K18" s="215" t="s">
        <v>211</v>
      </c>
      <c r="L18" s="215" t="s">
        <v>159</v>
      </c>
      <c r="M18" s="215"/>
      <c r="N18" s="215"/>
      <c r="O18" s="215"/>
    </row>
    <row r="19" spans="1:15">
      <c r="A19" s="296">
        <v>45719</v>
      </c>
      <c r="B19" s="215" t="s">
        <v>656</v>
      </c>
      <c r="C19" s="215" t="s">
        <v>130</v>
      </c>
      <c r="D19" s="215" t="s">
        <v>120</v>
      </c>
      <c r="E19" s="222">
        <v>30000</v>
      </c>
      <c r="F19" s="283">
        <f t="shared" si="0"/>
        <v>51.791019782443193</v>
      </c>
      <c r="G19" s="222">
        <v>579.25099999999998</v>
      </c>
      <c r="H19" s="215" t="s">
        <v>161</v>
      </c>
      <c r="I19" s="215" t="s">
        <v>1132</v>
      </c>
      <c r="J19" s="215" t="s">
        <v>100</v>
      </c>
      <c r="K19" s="215" t="s">
        <v>211</v>
      </c>
      <c r="L19" s="215" t="s">
        <v>159</v>
      </c>
      <c r="M19" s="215"/>
      <c r="N19" s="215"/>
      <c r="O19" s="77"/>
    </row>
    <row r="20" spans="1:15">
      <c r="A20" s="296">
        <v>45719</v>
      </c>
      <c r="B20" s="215" t="s">
        <v>1518</v>
      </c>
      <c r="C20" s="215" t="s">
        <v>1538</v>
      </c>
      <c r="D20" s="215" t="s">
        <v>121</v>
      </c>
      <c r="E20" s="222">
        <v>25000</v>
      </c>
      <c r="F20" s="283">
        <f t="shared" si="0"/>
        <v>43.159183152035993</v>
      </c>
      <c r="G20" s="222">
        <v>579.25099999999998</v>
      </c>
      <c r="H20" s="215" t="s">
        <v>673</v>
      </c>
      <c r="I20" s="215" t="s">
        <v>1078</v>
      </c>
      <c r="J20" s="215" t="s">
        <v>100</v>
      </c>
      <c r="K20" s="215" t="s">
        <v>211</v>
      </c>
      <c r="L20" s="215" t="s">
        <v>159</v>
      </c>
      <c r="M20" s="215"/>
      <c r="N20" s="215"/>
      <c r="O20" s="77"/>
    </row>
    <row r="21" spans="1:15">
      <c r="A21" s="296">
        <v>45719</v>
      </c>
      <c r="B21" s="215" t="s">
        <v>945</v>
      </c>
      <c r="C21" s="215" t="s">
        <v>130</v>
      </c>
      <c r="D21" s="215" t="s">
        <v>121</v>
      </c>
      <c r="E21" s="222">
        <v>15000</v>
      </c>
      <c r="F21" s="283">
        <f t="shared" si="0"/>
        <v>25.895509891221597</v>
      </c>
      <c r="G21" s="222">
        <v>579.25099999999998</v>
      </c>
      <c r="H21" s="215" t="s">
        <v>673</v>
      </c>
      <c r="I21" s="215" t="s">
        <v>1129</v>
      </c>
      <c r="J21" s="215" t="s">
        <v>100</v>
      </c>
      <c r="K21" s="215" t="s">
        <v>211</v>
      </c>
      <c r="L21" s="215" t="s">
        <v>159</v>
      </c>
      <c r="M21" s="215"/>
      <c r="N21" s="215"/>
      <c r="O21" s="77"/>
    </row>
    <row r="22" spans="1:15">
      <c r="A22" s="296">
        <v>45719</v>
      </c>
      <c r="B22" s="292" t="s">
        <v>941</v>
      </c>
      <c r="C22" s="215" t="s">
        <v>1538</v>
      </c>
      <c r="D22" s="215" t="s">
        <v>121</v>
      </c>
      <c r="E22" s="222">
        <v>62500</v>
      </c>
      <c r="F22" s="283">
        <f t="shared" si="0"/>
        <v>107.89795788008998</v>
      </c>
      <c r="G22" s="222">
        <v>579.25099999999998</v>
      </c>
      <c r="H22" s="215" t="s">
        <v>198</v>
      </c>
      <c r="I22" s="215" t="s">
        <v>1079</v>
      </c>
      <c r="J22" s="215" t="s">
        <v>100</v>
      </c>
      <c r="K22" s="215" t="s">
        <v>211</v>
      </c>
      <c r="L22" s="215" t="s">
        <v>159</v>
      </c>
      <c r="M22" s="77"/>
      <c r="N22" s="77"/>
      <c r="O22" s="77"/>
    </row>
    <row r="23" spans="1:15">
      <c r="A23" s="296">
        <v>45719</v>
      </c>
      <c r="B23" s="215" t="s">
        <v>574</v>
      </c>
      <c r="C23" s="215" t="s">
        <v>129</v>
      </c>
      <c r="D23" s="215" t="s">
        <v>121</v>
      </c>
      <c r="E23" s="222">
        <v>500000</v>
      </c>
      <c r="F23" s="283">
        <f t="shared" si="0"/>
        <v>863.18366304071981</v>
      </c>
      <c r="G23" s="222">
        <v>579.25099999999998</v>
      </c>
      <c r="H23" s="215" t="s">
        <v>151</v>
      </c>
      <c r="I23" s="215" t="s">
        <v>1194</v>
      </c>
      <c r="J23" s="215" t="s">
        <v>100</v>
      </c>
      <c r="K23" s="215" t="s">
        <v>211</v>
      </c>
      <c r="L23" s="215" t="s">
        <v>159</v>
      </c>
      <c r="M23" s="77"/>
      <c r="N23" s="77"/>
      <c r="O23" s="77"/>
    </row>
    <row r="24" spans="1:15">
      <c r="A24" s="296">
        <v>45719</v>
      </c>
      <c r="B24" s="215" t="s">
        <v>1141</v>
      </c>
      <c r="C24" s="215" t="s">
        <v>130</v>
      </c>
      <c r="D24" s="215" t="s">
        <v>120</v>
      </c>
      <c r="E24" s="222">
        <v>200000</v>
      </c>
      <c r="F24" s="283">
        <f t="shared" si="0"/>
        <v>345.27346521628795</v>
      </c>
      <c r="G24" s="222">
        <v>579.25099999999998</v>
      </c>
      <c r="H24" s="215" t="s">
        <v>151</v>
      </c>
      <c r="I24" s="215" t="s">
        <v>1195</v>
      </c>
      <c r="J24" s="215" t="s">
        <v>100</v>
      </c>
      <c r="K24" s="215" t="s">
        <v>211</v>
      </c>
      <c r="L24" s="215" t="s">
        <v>159</v>
      </c>
      <c r="M24" s="77"/>
      <c r="N24" s="77"/>
      <c r="O24" s="77"/>
    </row>
    <row r="25" spans="1:15">
      <c r="A25" s="296">
        <v>45719</v>
      </c>
      <c r="B25" s="215" t="s">
        <v>1142</v>
      </c>
      <c r="C25" s="215" t="s">
        <v>130</v>
      </c>
      <c r="D25" s="215" t="s">
        <v>120</v>
      </c>
      <c r="E25" s="222">
        <v>200000</v>
      </c>
      <c r="F25" s="283">
        <f t="shared" si="0"/>
        <v>345.27346521628795</v>
      </c>
      <c r="G25" s="222">
        <v>579.25099999999998</v>
      </c>
      <c r="H25" s="215" t="s">
        <v>151</v>
      </c>
      <c r="I25" s="215" t="s">
        <v>1196</v>
      </c>
      <c r="J25" s="215" t="s">
        <v>100</v>
      </c>
      <c r="K25" s="215" t="s">
        <v>211</v>
      </c>
      <c r="L25" s="215" t="s">
        <v>159</v>
      </c>
      <c r="M25" s="77"/>
      <c r="N25" s="77"/>
      <c r="O25" s="77"/>
    </row>
    <row r="26" spans="1:15">
      <c r="A26" s="296">
        <v>45719</v>
      </c>
      <c r="B26" s="215" t="s">
        <v>1143</v>
      </c>
      <c r="C26" s="215" t="s">
        <v>130</v>
      </c>
      <c r="D26" s="215" t="s">
        <v>120</v>
      </c>
      <c r="E26" s="222">
        <v>200000</v>
      </c>
      <c r="F26" s="283">
        <f t="shared" si="0"/>
        <v>345.27346521628795</v>
      </c>
      <c r="G26" s="222">
        <v>579.25099999999998</v>
      </c>
      <c r="H26" s="215" t="s">
        <v>151</v>
      </c>
      <c r="I26" s="215" t="s">
        <v>1197</v>
      </c>
      <c r="J26" s="215" t="s">
        <v>100</v>
      </c>
      <c r="K26" s="215" t="s">
        <v>211</v>
      </c>
      <c r="L26" s="215" t="s">
        <v>159</v>
      </c>
      <c r="M26" s="77"/>
      <c r="N26" s="77"/>
      <c r="O26" s="77"/>
    </row>
    <row r="27" spans="1:15">
      <c r="A27" s="296">
        <v>45719</v>
      </c>
      <c r="B27" s="215" t="s">
        <v>1144</v>
      </c>
      <c r="C27" s="215" t="s">
        <v>130</v>
      </c>
      <c r="D27" s="215" t="s">
        <v>120</v>
      </c>
      <c r="E27" s="222">
        <v>551482</v>
      </c>
      <c r="F27" s="283">
        <f t="shared" si="0"/>
        <v>952.06050572204458</v>
      </c>
      <c r="G27" s="222">
        <v>579.25099999999998</v>
      </c>
      <c r="H27" s="215" t="s">
        <v>151</v>
      </c>
      <c r="I27" s="215" t="s">
        <v>1198</v>
      </c>
      <c r="J27" s="215" t="s">
        <v>100</v>
      </c>
      <c r="K27" s="215" t="s">
        <v>211</v>
      </c>
      <c r="L27" s="215" t="s">
        <v>159</v>
      </c>
      <c r="M27" s="77"/>
      <c r="N27" s="77"/>
      <c r="O27" s="77"/>
    </row>
    <row r="28" spans="1:15">
      <c r="A28" s="296">
        <v>45719</v>
      </c>
      <c r="B28" s="215" t="s">
        <v>1145</v>
      </c>
      <c r="C28" s="215" t="s">
        <v>130</v>
      </c>
      <c r="D28" s="215" t="s">
        <v>121</v>
      </c>
      <c r="E28" s="222">
        <v>384789</v>
      </c>
      <c r="F28" s="283">
        <f t="shared" si="0"/>
        <v>664.2871570355511</v>
      </c>
      <c r="G28" s="222">
        <v>579.25099999999998</v>
      </c>
      <c r="H28" s="215" t="s">
        <v>151</v>
      </c>
      <c r="I28" s="215" t="s">
        <v>1199</v>
      </c>
      <c r="J28" s="215" t="s">
        <v>100</v>
      </c>
      <c r="K28" s="215" t="s">
        <v>211</v>
      </c>
      <c r="L28" s="215" t="s">
        <v>159</v>
      </c>
      <c r="M28" s="77"/>
      <c r="N28" s="77"/>
      <c r="O28" s="77"/>
    </row>
    <row r="29" spans="1:15">
      <c r="A29" s="296">
        <v>45719</v>
      </c>
      <c r="B29" s="215" t="s">
        <v>1146</v>
      </c>
      <c r="C29" s="215" t="s">
        <v>130</v>
      </c>
      <c r="D29" s="215" t="s">
        <v>123</v>
      </c>
      <c r="E29" s="222">
        <v>238140</v>
      </c>
      <c r="F29" s="283">
        <f t="shared" si="0"/>
        <v>411.11711503303405</v>
      </c>
      <c r="G29" s="222">
        <v>579.25099999999998</v>
      </c>
      <c r="H29" s="215" t="s">
        <v>151</v>
      </c>
      <c r="I29" s="215" t="s">
        <v>1200</v>
      </c>
      <c r="J29" s="215" t="s">
        <v>100</v>
      </c>
      <c r="K29" s="215" t="s">
        <v>211</v>
      </c>
      <c r="L29" s="215" t="s">
        <v>159</v>
      </c>
      <c r="M29" s="77"/>
      <c r="N29" s="77"/>
      <c r="O29" s="77"/>
    </row>
    <row r="30" spans="1:15">
      <c r="A30" s="296">
        <v>45719</v>
      </c>
      <c r="B30" s="215" t="s">
        <v>1147</v>
      </c>
      <c r="C30" s="215" t="s">
        <v>130</v>
      </c>
      <c r="D30" s="215" t="s">
        <v>124</v>
      </c>
      <c r="E30" s="222">
        <v>405000</v>
      </c>
      <c r="F30" s="283">
        <f t="shared" si="0"/>
        <v>699.17876706298307</v>
      </c>
      <c r="G30" s="222">
        <v>579.25099999999998</v>
      </c>
      <c r="H30" s="215" t="s">
        <v>151</v>
      </c>
      <c r="I30" s="215" t="s">
        <v>1201</v>
      </c>
      <c r="J30" s="215" t="s">
        <v>100</v>
      </c>
      <c r="K30" s="215" t="s">
        <v>211</v>
      </c>
      <c r="L30" s="215" t="s">
        <v>159</v>
      </c>
      <c r="M30" s="77"/>
      <c r="N30" s="77"/>
      <c r="O30" s="77"/>
    </row>
    <row r="31" spans="1:15">
      <c r="A31" s="296">
        <v>45719</v>
      </c>
      <c r="B31" s="215" t="s">
        <v>1148</v>
      </c>
      <c r="C31" s="215" t="s">
        <v>130</v>
      </c>
      <c r="D31" s="215" t="s">
        <v>124</v>
      </c>
      <c r="E31" s="222">
        <v>460000</v>
      </c>
      <c r="F31" s="283">
        <f t="shared" si="0"/>
        <v>794.12896999746226</v>
      </c>
      <c r="G31" s="222">
        <v>579.25099999999998</v>
      </c>
      <c r="H31" s="215" t="s">
        <v>151</v>
      </c>
      <c r="I31" s="215" t="s">
        <v>1202</v>
      </c>
      <c r="J31" s="215" t="s">
        <v>100</v>
      </c>
      <c r="K31" s="215" t="s">
        <v>211</v>
      </c>
      <c r="L31" s="215" t="s">
        <v>159</v>
      </c>
      <c r="M31" s="77"/>
      <c r="N31" s="77"/>
      <c r="O31" s="77"/>
    </row>
    <row r="32" spans="1:15">
      <c r="A32" s="296">
        <v>45719</v>
      </c>
      <c r="B32" s="215" t="s">
        <v>1149</v>
      </c>
      <c r="C32" s="215" t="s">
        <v>130</v>
      </c>
      <c r="D32" s="215" t="s">
        <v>124</v>
      </c>
      <c r="E32" s="222">
        <v>255000</v>
      </c>
      <c r="F32" s="283">
        <f t="shared" si="0"/>
        <v>440.22366815076714</v>
      </c>
      <c r="G32" s="222">
        <v>579.25099999999998</v>
      </c>
      <c r="H32" s="215" t="s">
        <v>151</v>
      </c>
      <c r="I32" s="215" t="s">
        <v>1203</v>
      </c>
      <c r="J32" s="215" t="s">
        <v>100</v>
      </c>
      <c r="K32" s="215" t="s">
        <v>211</v>
      </c>
      <c r="L32" s="215" t="s">
        <v>159</v>
      </c>
      <c r="M32" s="77"/>
      <c r="N32" s="77"/>
      <c r="O32" s="77"/>
    </row>
    <row r="33" spans="1:15">
      <c r="A33" s="296">
        <v>45719</v>
      </c>
      <c r="B33" s="215" t="s">
        <v>1150</v>
      </c>
      <c r="C33" s="215" t="s">
        <v>130</v>
      </c>
      <c r="D33" s="215" t="s">
        <v>124</v>
      </c>
      <c r="E33" s="222">
        <v>255000</v>
      </c>
      <c r="F33" s="283">
        <f t="shared" si="0"/>
        <v>440.22366815076714</v>
      </c>
      <c r="G33" s="222">
        <v>579.25099999999998</v>
      </c>
      <c r="H33" s="215" t="s">
        <v>151</v>
      </c>
      <c r="I33" s="215" t="s">
        <v>1204</v>
      </c>
      <c r="J33" s="215" t="s">
        <v>100</v>
      </c>
      <c r="K33" s="215" t="s">
        <v>211</v>
      </c>
      <c r="L33" s="215" t="s">
        <v>159</v>
      </c>
      <c r="M33" s="77"/>
      <c r="N33" s="77"/>
      <c r="O33" s="77"/>
    </row>
    <row r="34" spans="1:15">
      <c r="A34" s="296">
        <v>45719</v>
      </c>
      <c r="B34" s="215" t="s">
        <v>1151</v>
      </c>
      <c r="C34" s="215" t="s">
        <v>324</v>
      </c>
      <c r="D34" s="215" t="s">
        <v>121</v>
      </c>
      <c r="E34" s="222">
        <v>260000</v>
      </c>
      <c r="F34" s="283">
        <f t="shared" si="0"/>
        <v>448.85550478117432</v>
      </c>
      <c r="G34" s="222">
        <v>579.25099999999998</v>
      </c>
      <c r="H34" s="215" t="s">
        <v>151</v>
      </c>
      <c r="I34" s="215" t="s">
        <v>1205</v>
      </c>
      <c r="J34" s="215" t="s">
        <v>100</v>
      </c>
      <c r="K34" s="215" t="s">
        <v>211</v>
      </c>
      <c r="L34" s="215" t="s">
        <v>159</v>
      </c>
      <c r="M34" s="77"/>
      <c r="N34" s="77"/>
      <c r="O34" s="77"/>
    </row>
    <row r="35" spans="1:15">
      <c r="A35" s="296">
        <v>45719</v>
      </c>
      <c r="B35" s="215" t="s">
        <v>1152</v>
      </c>
      <c r="C35" s="215" t="s">
        <v>131</v>
      </c>
      <c r="D35" s="215" t="s">
        <v>121</v>
      </c>
      <c r="E35" s="222">
        <v>10665</v>
      </c>
      <c r="F35" s="283">
        <f t="shared" si="0"/>
        <v>18.411707532658554</v>
      </c>
      <c r="G35" s="222">
        <v>579.25099999999998</v>
      </c>
      <c r="H35" s="215" t="s">
        <v>151</v>
      </c>
      <c r="I35" s="215" t="s">
        <v>1206</v>
      </c>
      <c r="J35" s="215" t="s">
        <v>100</v>
      </c>
      <c r="K35" s="215" t="s">
        <v>211</v>
      </c>
      <c r="L35" s="215" t="s">
        <v>159</v>
      </c>
      <c r="M35" s="77"/>
      <c r="N35" s="77"/>
      <c r="O35" s="77"/>
    </row>
    <row r="36" spans="1:15">
      <c r="A36" s="296">
        <v>45719</v>
      </c>
      <c r="B36" s="215" t="s">
        <v>1153</v>
      </c>
      <c r="C36" s="215" t="s">
        <v>126</v>
      </c>
      <c r="D36" s="215" t="s">
        <v>120</v>
      </c>
      <c r="E36" s="222">
        <v>300000</v>
      </c>
      <c r="F36" s="283">
        <f t="shared" si="0"/>
        <v>517.91019782443186</v>
      </c>
      <c r="G36" s="222">
        <v>579.25099999999998</v>
      </c>
      <c r="H36" s="215" t="s">
        <v>151</v>
      </c>
      <c r="I36" s="215" t="s">
        <v>1207</v>
      </c>
      <c r="J36" s="215" t="s">
        <v>100</v>
      </c>
      <c r="K36" s="215" t="s">
        <v>211</v>
      </c>
      <c r="L36" s="215" t="s">
        <v>159</v>
      </c>
      <c r="M36" s="77"/>
      <c r="N36" s="77"/>
      <c r="O36" s="77"/>
    </row>
    <row r="37" spans="1:15">
      <c r="A37" s="300">
        <v>45720</v>
      </c>
      <c r="B37" s="215" t="s">
        <v>1519</v>
      </c>
      <c r="C37" s="215" t="s">
        <v>414</v>
      </c>
      <c r="D37" s="215" t="s">
        <v>124</v>
      </c>
      <c r="E37" s="222">
        <v>30000</v>
      </c>
      <c r="F37" s="283">
        <f t="shared" si="0"/>
        <v>51.791019782443193</v>
      </c>
      <c r="G37" s="222">
        <v>579.25099999999998</v>
      </c>
      <c r="H37" s="215" t="s">
        <v>156</v>
      </c>
      <c r="I37" s="215" t="s">
        <v>1081</v>
      </c>
      <c r="J37" s="215" t="s">
        <v>100</v>
      </c>
      <c r="K37" s="215" t="s">
        <v>211</v>
      </c>
      <c r="L37" s="215" t="s">
        <v>159</v>
      </c>
      <c r="M37" s="215"/>
      <c r="N37" s="215"/>
      <c r="O37" s="77"/>
    </row>
    <row r="38" spans="1:15">
      <c r="A38" s="296">
        <v>45720</v>
      </c>
      <c r="B38" s="215" t="s">
        <v>1246</v>
      </c>
      <c r="C38" s="215" t="s">
        <v>179</v>
      </c>
      <c r="D38" s="215" t="s">
        <v>121</v>
      </c>
      <c r="E38" s="222">
        <v>9900</v>
      </c>
      <c r="F38" s="283">
        <f t="shared" si="0"/>
        <v>17.091036528206253</v>
      </c>
      <c r="G38" s="222">
        <v>579.25099999999998</v>
      </c>
      <c r="H38" s="215" t="s">
        <v>161</v>
      </c>
      <c r="I38" s="215" t="s">
        <v>1480</v>
      </c>
      <c r="J38" s="215" t="s">
        <v>100</v>
      </c>
      <c r="K38" s="215" t="s">
        <v>211</v>
      </c>
      <c r="L38" s="215" t="s">
        <v>159</v>
      </c>
      <c r="M38" s="215"/>
      <c r="N38" s="215"/>
      <c r="O38" s="77"/>
    </row>
    <row r="39" spans="1:15">
      <c r="A39" s="296">
        <v>45720</v>
      </c>
      <c r="B39" s="215" t="s">
        <v>949</v>
      </c>
      <c r="C39" s="215" t="s">
        <v>130</v>
      </c>
      <c r="D39" s="215" t="s">
        <v>121</v>
      </c>
      <c r="E39" s="222">
        <v>131428</v>
      </c>
      <c r="F39" s="283">
        <f t="shared" si="0"/>
        <v>226.89300493223146</v>
      </c>
      <c r="G39" s="222">
        <v>579.25099999999998</v>
      </c>
      <c r="H39" s="215" t="s">
        <v>161</v>
      </c>
      <c r="I39" s="215" t="s">
        <v>1080</v>
      </c>
      <c r="J39" s="215" t="s">
        <v>100</v>
      </c>
      <c r="K39" s="215" t="s">
        <v>211</v>
      </c>
      <c r="L39" s="215" t="s">
        <v>159</v>
      </c>
      <c r="M39" s="215"/>
      <c r="N39" s="215"/>
      <c r="O39" s="77"/>
    </row>
    <row r="40" spans="1:15" s="277" customFormat="1">
      <c r="A40" s="404">
        <v>45720</v>
      </c>
      <c r="B40" s="239" t="s">
        <v>954</v>
      </c>
      <c r="C40" s="239" t="s">
        <v>179</v>
      </c>
      <c r="D40" s="239" t="s">
        <v>120</v>
      </c>
      <c r="E40" s="405">
        <v>20000</v>
      </c>
      <c r="F40" s="406">
        <f t="shared" si="0"/>
        <v>34.527346521628793</v>
      </c>
      <c r="G40" s="405">
        <v>579.25099999999998</v>
      </c>
      <c r="H40" s="239" t="s">
        <v>161</v>
      </c>
      <c r="I40" s="239" t="s">
        <v>1085</v>
      </c>
      <c r="J40" s="239" t="s">
        <v>100</v>
      </c>
      <c r="K40" s="239" t="s">
        <v>211</v>
      </c>
      <c r="L40" s="239" t="s">
        <v>159</v>
      </c>
      <c r="M40" s="239"/>
      <c r="N40" s="239"/>
      <c r="O40" s="218"/>
    </row>
    <row r="41" spans="1:15" s="277" customFormat="1">
      <c r="A41" s="404">
        <v>45720</v>
      </c>
      <c r="B41" s="239" t="s">
        <v>955</v>
      </c>
      <c r="C41" s="239" t="s">
        <v>526</v>
      </c>
      <c r="D41" s="239" t="s">
        <v>120</v>
      </c>
      <c r="E41" s="405">
        <v>50000</v>
      </c>
      <c r="F41" s="406">
        <f t="shared" si="0"/>
        <v>86.318366304071986</v>
      </c>
      <c r="G41" s="405">
        <v>579.25099999999998</v>
      </c>
      <c r="H41" s="239" t="s">
        <v>161</v>
      </c>
      <c r="I41" s="239" t="s">
        <v>1086</v>
      </c>
      <c r="J41" s="239" t="s">
        <v>100</v>
      </c>
      <c r="K41" s="239" t="s">
        <v>211</v>
      </c>
      <c r="L41" s="239" t="s">
        <v>159</v>
      </c>
      <c r="M41" s="239"/>
      <c r="N41" s="239"/>
      <c r="O41" s="218"/>
    </row>
    <row r="42" spans="1:15" s="277" customFormat="1">
      <c r="A42" s="404">
        <v>45720</v>
      </c>
      <c r="B42" s="239" t="s">
        <v>650</v>
      </c>
      <c r="C42" s="239" t="s">
        <v>130</v>
      </c>
      <c r="D42" s="239" t="s">
        <v>120</v>
      </c>
      <c r="E42" s="405">
        <v>30000</v>
      </c>
      <c r="F42" s="406">
        <f t="shared" si="0"/>
        <v>51.791019782443193</v>
      </c>
      <c r="G42" s="405">
        <v>579.25099999999998</v>
      </c>
      <c r="H42" s="239" t="s">
        <v>161</v>
      </c>
      <c r="I42" s="239" t="s">
        <v>1134</v>
      </c>
      <c r="J42" s="239" t="s">
        <v>100</v>
      </c>
      <c r="K42" s="239" t="s">
        <v>211</v>
      </c>
      <c r="L42" s="239" t="s">
        <v>159</v>
      </c>
      <c r="M42" s="239"/>
      <c r="N42" s="239"/>
      <c r="O42" s="218"/>
    </row>
    <row r="43" spans="1:15" s="277" customFormat="1">
      <c r="A43" s="404">
        <v>45720</v>
      </c>
      <c r="B43" s="239" t="s">
        <v>956</v>
      </c>
      <c r="C43" s="239" t="s">
        <v>278</v>
      </c>
      <c r="D43" s="239" t="s">
        <v>208</v>
      </c>
      <c r="E43" s="405">
        <v>50000</v>
      </c>
      <c r="F43" s="406">
        <f t="shared" si="0"/>
        <v>86.318366304071986</v>
      </c>
      <c r="G43" s="405">
        <v>579.25099999999998</v>
      </c>
      <c r="H43" s="239" t="s">
        <v>161</v>
      </c>
      <c r="I43" s="239" t="s">
        <v>1135</v>
      </c>
      <c r="J43" s="239" t="s">
        <v>100</v>
      </c>
      <c r="K43" s="239" t="s">
        <v>211</v>
      </c>
      <c r="L43" s="239" t="s">
        <v>159</v>
      </c>
      <c r="M43" s="239"/>
      <c r="N43" s="239"/>
      <c r="O43" s="218"/>
    </row>
    <row r="44" spans="1:15">
      <c r="A44" s="296">
        <v>45720</v>
      </c>
      <c r="B44" s="215" t="s">
        <v>951</v>
      </c>
      <c r="C44" s="215" t="s">
        <v>1539</v>
      </c>
      <c r="D44" s="215" t="s">
        <v>121</v>
      </c>
      <c r="E44" s="222">
        <v>8700</v>
      </c>
      <c r="F44" s="283">
        <f t="shared" si="0"/>
        <v>15.019395736908526</v>
      </c>
      <c r="G44" s="222">
        <v>579.25099999999998</v>
      </c>
      <c r="H44" s="215" t="s">
        <v>673</v>
      </c>
      <c r="I44" s="215" t="s">
        <v>1083</v>
      </c>
      <c r="J44" s="215" t="s">
        <v>100</v>
      </c>
      <c r="K44" s="215" t="s">
        <v>211</v>
      </c>
      <c r="L44" s="215" t="s">
        <v>159</v>
      </c>
      <c r="M44" s="215"/>
      <c r="N44" s="215"/>
      <c r="O44" s="77"/>
    </row>
    <row r="45" spans="1:15" s="277" customFormat="1">
      <c r="A45" s="404">
        <v>45720</v>
      </c>
      <c r="B45" s="239" t="s">
        <v>952</v>
      </c>
      <c r="C45" s="239" t="s">
        <v>526</v>
      </c>
      <c r="D45" s="239" t="s">
        <v>120</v>
      </c>
      <c r="E45" s="405">
        <v>100000</v>
      </c>
      <c r="F45" s="406">
        <f t="shared" si="0"/>
        <v>172.63673260814397</v>
      </c>
      <c r="G45" s="405">
        <v>579.25099999999998</v>
      </c>
      <c r="H45" s="239" t="s">
        <v>673</v>
      </c>
      <c r="I45" s="239" t="s">
        <v>1084</v>
      </c>
      <c r="J45" s="239" t="s">
        <v>100</v>
      </c>
      <c r="K45" s="239" t="s">
        <v>211</v>
      </c>
      <c r="L45" s="239" t="s">
        <v>159</v>
      </c>
      <c r="M45" s="239"/>
      <c r="N45" s="239"/>
      <c r="O45" s="218"/>
    </row>
    <row r="46" spans="1:15">
      <c r="A46" s="296">
        <v>45720</v>
      </c>
      <c r="B46" s="215" t="s">
        <v>1273</v>
      </c>
      <c r="C46" s="215" t="s">
        <v>130</v>
      </c>
      <c r="D46" s="215" t="s">
        <v>1274</v>
      </c>
      <c r="E46" s="222">
        <v>65000</v>
      </c>
      <c r="F46" s="283">
        <f t="shared" si="0"/>
        <v>112.21387619529358</v>
      </c>
      <c r="G46" s="222">
        <v>579.25099999999998</v>
      </c>
      <c r="H46" s="215" t="s">
        <v>181</v>
      </c>
      <c r="I46" s="215" t="s">
        <v>1275</v>
      </c>
      <c r="J46" s="215" t="s">
        <v>100</v>
      </c>
      <c r="K46" s="215" t="s">
        <v>211</v>
      </c>
      <c r="L46" s="215" t="s">
        <v>159</v>
      </c>
      <c r="M46" s="77"/>
      <c r="N46" s="77"/>
      <c r="O46" s="77"/>
    </row>
    <row r="47" spans="1:15" s="277" customFormat="1">
      <c r="A47" s="404">
        <v>45720</v>
      </c>
      <c r="B47" s="239" t="s">
        <v>1520</v>
      </c>
      <c r="C47" s="239" t="s">
        <v>526</v>
      </c>
      <c r="D47" s="239" t="s">
        <v>524</v>
      </c>
      <c r="E47" s="405">
        <v>40000</v>
      </c>
      <c r="F47" s="406">
        <f t="shared" si="0"/>
        <v>69.054693043257586</v>
      </c>
      <c r="G47" s="405">
        <v>579.25099999999998</v>
      </c>
      <c r="H47" s="239" t="s">
        <v>195</v>
      </c>
      <c r="I47" s="239" t="s">
        <v>1351</v>
      </c>
      <c r="J47" s="239" t="s">
        <v>100</v>
      </c>
      <c r="K47" s="239" t="s">
        <v>211</v>
      </c>
      <c r="L47" s="239" t="s">
        <v>159</v>
      </c>
      <c r="M47" s="218"/>
      <c r="N47" s="218"/>
      <c r="O47" s="218"/>
    </row>
    <row r="48" spans="1:15" s="294" customFormat="1">
      <c r="A48" s="296">
        <v>45720</v>
      </c>
      <c r="B48" s="215" t="s">
        <v>950</v>
      </c>
      <c r="C48" s="215" t="s">
        <v>1539</v>
      </c>
      <c r="D48" s="215" t="s">
        <v>121</v>
      </c>
      <c r="E48" s="297">
        <v>1952</v>
      </c>
      <c r="F48" s="283">
        <f t="shared" si="0"/>
        <v>3.3698690205109703</v>
      </c>
      <c r="G48" s="222">
        <v>579.25099999999998</v>
      </c>
      <c r="H48" s="215" t="s">
        <v>201</v>
      </c>
      <c r="I48" s="215" t="s">
        <v>1082</v>
      </c>
      <c r="J48" s="215" t="s">
        <v>100</v>
      </c>
      <c r="K48" s="291" t="s">
        <v>211</v>
      </c>
      <c r="L48" s="291" t="s">
        <v>159</v>
      </c>
      <c r="M48" s="293"/>
      <c r="N48" s="293"/>
      <c r="O48" s="293"/>
    </row>
    <row r="49" spans="1:15">
      <c r="A49" s="296">
        <v>45720</v>
      </c>
      <c r="B49" s="215" t="s">
        <v>948</v>
      </c>
      <c r="C49" s="215" t="s">
        <v>337</v>
      </c>
      <c r="D49" s="215" t="s">
        <v>123</v>
      </c>
      <c r="E49" s="222">
        <v>148000</v>
      </c>
      <c r="F49" s="283">
        <f t="shared" si="0"/>
        <v>255.50236426005307</v>
      </c>
      <c r="G49" s="222">
        <v>579.25099999999998</v>
      </c>
      <c r="H49" s="215" t="s">
        <v>223</v>
      </c>
      <c r="I49" s="215" t="s">
        <v>1133</v>
      </c>
      <c r="J49" s="215" t="s">
        <v>100</v>
      </c>
      <c r="K49" s="215" t="s">
        <v>211</v>
      </c>
      <c r="L49" s="215" t="s">
        <v>159</v>
      </c>
      <c r="M49" s="77"/>
      <c r="N49" s="77"/>
      <c r="O49" s="77"/>
    </row>
    <row r="50" spans="1:15">
      <c r="A50" s="296">
        <v>45721</v>
      </c>
      <c r="B50" s="215" t="s">
        <v>1456</v>
      </c>
      <c r="C50" s="215" t="s">
        <v>526</v>
      </c>
      <c r="D50" s="215" t="s">
        <v>524</v>
      </c>
      <c r="E50" s="222">
        <v>30000</v>
      </c>
      <c r="F50" s="283">
        <f t="shared" si="0"/>
        <v>51.791019782443193</v>
      </c>
      <c r="G50" s="222">
        <v>579.25099999999998</v>
      </c>
      <c r="H50" s="215" t="s">
        <v>209</v>
      </c>
      <c r="I50" s="215" t="s">
        <v>1457</v>
      </c>
      <c r="J50" s="215" t="s">
        <v>100</v>
      </c>
      <c r="K50" s="215" t="s">
        <v>211</v>
      </c>
      <c r="L50" s="215" t="s">
        <v>159</v>
      </c>
      <c r="M50" s="215"/>
      <c r="N50" s="215"/>
      <c r="O50" s="215"/>
    </row>
    <row r="51" spans="1:15">
      <c r="A51" s="296">
        <v>45722</v>
      </c>
      <c r="B51" s="215" t="s">
        <v>1521</v>
      </c>
      <c r="C51" s="215" t="s">
        <v>130</v>
      </c>
      <c r="D51" s="215" t="s">
        <v>122</v>
      </c>
      <c r="E51" s="222">
        <v>174625</v>
      </c>
      <c r="F51" s="283">
        <f t="shared" si="0"/>
        <v>301.46689431697143</v>
      </c>
      <c r="G51" s="222">
        <v>579.25099999999998</v>
      </c>
      <c r="H51" s="215" t="s">
        <v>156</v>
      </c>
      <c r="I51" s="215" t="s">
        <v>1235</v>
      </c>
      <c r="J51" s="215" t="s">
        <v>100</v>
      </c>
      <c r="K51" s="215" t="s">
        <v>211</v>
      </c>
      <c r="L51" s="215" t="s">
        <v>159</v>
      </c>
      <c r="M51" s="215"/>
      <c r="N51" s="215"/>
      <c r="O51" s="77"/>
    </row>
    <row r="52" spans="1:15">
      <c r="A52" s="296">
        <v>45722</v>
      </c>
      <c r="B52" s="215" t="s">
        <v>674</v>
      </c>
      <c r="C52" s="215" t="s">
        <v>414</v>
      </c>
      <c r="D52" s="215" t="s">
        <v>124</v>
      </c>
      <c r="E52" s="222">
        <v>30000</v>
      </c>
      <c r="F52" s="283">
        <f t="shared" si="0"/>
        <v>51.791019782443193</v>
      </c>
      <c r="G52" s="222">
        <v>579.25099999999998</v>
      </c>
      <c r="H52" s="215" t="s">
        <v>156</v>
      </c>
      <c r="I52" s="215" t="s">
        <v>1087</v>
      </c>
      <c r="J52" s="215" t="s">
        <v>100</v>
      </c>
      <c r="K52" s="215" t="s">
        <v>211</v>
      </c>
      <c r="L52" s="215" t="s">
        <v>159</v>
      </c>
      <c r="M52" s="215"/>
      <c r="N52" s="215"/>
      <c r="O52" s="77"/>
    </row>
    <row r="53" spans="1:15">
      <c r="A53" s="296">
        <v>45722</v>
      </c>
      <c r="B53" s="215" t="s">
        <v>1553</v>
      </c>
      <c r="C53" s="215" t="s">
        <v>179</v>
      </c>
      <c r="D53" s="215" t="s">
        <v>124</v>
      </c>
      <c r="E53" s="222">
        <v>7000</v>
      </c>
      <c r="F53" s="283">
        <f t="shared" si="0"/>
        <v>12.084571282570078</v>
      </c>
      <c r="G53" s="222">
        <v>579.25099999999998</v>
      </c>
      <c r="H53" s="215" t="s">
        <v>351</v>
      </c>
      <c r="I53" s="215" t="s">
        <v>1332</v>
      </c>
      <c r="J53" s="215" t="s">
        <v>100</v>
      </c>
      <c r="K53" s="215" t="s">
        <v>211</v>
      </c>
      <c r="L53" s="215" t="s">
        <v>159</v>
      </c>
      <c r="M53" s="77"/>
      <c r="N53" s="77"/>
      <c r="O53" s="77"/>
    </row>
    <row r="54" spans="1:15">
      <c r="A54" s="296">
        <v>45722</v>
      </c>
      <c r="B54" s="215" t="s">
        <v>957</v>
      </c>
      <c r="C54" s="215" t="s">
        <v>1539</v>
      </c>
      <c r="D54" s="215" t="s">
        <v>121</v>
      </c>
      <c r="E54" s="222">
        <v>1952</v>
      </c>
      <c r="F54" s="283">
        <f t="shared" si="0"/>
        <v>3.3698690205109703</v>
      </c>
      <c r="G54" s="222">
        <v>579.25099999999998</v>
      </c>
      <c r="H54" s="215" t="s">
        <v>201</v>
      </c>
      <c r="I54" s="215" t="s">
        <v>1088</v>
      </c>
      <c r="J54" s="215" t="s">
        <v>100</v>
      </c>
      <c r="K54" s="215" t="s">
        <v>211</v>
      </c>
      <c r="L54" s="215" t="s">
        <v>159</v>
      </c>
      <c r="M54" s="77"/>
      <c r="N54" s="77"/>
      <c r="O54" s="77"/>
    </row>
    <row r="55" spans="1:15">
      <c r="A55" s="296">
        <v>45723</v>
      </c>
      <c r="B55" s="215" t="s">
        <v>1517</v>
      </c>
      <c r="C55" s="215" t="s">
        <v>324</v>
      </c>
      <c r="D55" s="215" t="s">
        <v>121</v>
      </c>
      <c r="E55" s="222">
        <v>20000</v>
      </c>
      <c r="F55" s="283">
        <f t="shared" si="0"/>
        <v>34.527346521628793</v>
      </c>
      <c r="G55" s="222">
        <v>579.25099999999998</v>
      </c>
      <c r="H55" s="215" t="s">
        <v>156</v>
      </c>
      <c r="I55" s="215" t="s">
        <v>1089</v>
      </c>
      <c r="J55" s="215" t="s">
        <v>100</v>
      </c>
      <c r="K55" s="215" t="s">
        <v>211</v>
      </c>
      <c r="L55" s="215" t="s">
        <v>159</v>
      </c>
      <c r="M55" s="215"/>
      <c r="N55" s="215"/>
      <c r="O55" s="77"/>
    </row>
    <row r="56" spans="1:15">
      <c r="A56" s="296">
        <v>45723</v>
      </c>
      <c r="B56" s="215" t="s">
        <v>1554</v>
      </c>
      <c r="C56" s="215" t="s">
        <v>526</v>
      </c>
      <c r="D56" s="215" t="s">
        <v>124</v>
      </c>
      <c r="E56" s="222">
        <v>170000</v>
      </c>
      <c r="F56" s="283">
        <f t="shared" si="0"/>
        <v>293.48244543384476</v>
      </c>
      <c r="G56" s="222">
        <v>579.25099999999998</v>
      </c>
      <c r="H56" s="215" t="s">
        <v>351</v>
      </c>
      <c r="I56" s="215" t="s">
        <v>1333</v>
      </c>
      <c r="J56" s="215" t="s">
        <v>100</v>
      </c>
      <c r="K56" s="215" t="s">
        <v>211</v>
      </c>
      <c r="L56" s="215" t="s">
        <v>159</v>
      </c>
      <c r="M56" s="77"/>
      <c r="N56" s="77"/>
      <c r="O56" s="77"/>
    </row>
    <row r="57" spans="1:15" ht="14.4">
      <c r="A57" s="296">
        <v>45723</v>
      </c>
      <c r="B57" s="215" t="s">
        <v>1155</v>
      </c>
      <c r="C57" s="215" t="s">
        <v>128</v>
      </c>
      <c r="D57" s="215"/>
      <c r="E57" s="222"/>
      <c r="F57" s="283">
        <f t="shared" si="0"/>
        <v>0</v>
      </c>
      <c r="G57" s="282">
        <v>579.64599999999996</v>
      </c>
      <c r="H57" s="215" t="s">
        <v>151</v>
      </c>
      <c r="I57" s="215" t="s">
        <v>1191</v>
      </c>
      <c r="J57" s="215" t="s">
        <v>100</v>
      </c>
      <c r="K57" s="215" t="s">
        <v>211</v>
      </c>
      <c r="L57" s="215" t="s">
        <v>159</v>
      </c>
      <c r="M57" s="204">
        <v>17389380</v>
      </c>
      <c r="N57" s="204">
        <v>30000</v>
      </c>
      <c r="O57" s="77"/>
    </row>
    <row r="58" spans="1:15" ht="14.4">
      <c r="A58" s="296">
        <v>45723</v>
      </c>
      <c r="B58" s="215" t="s">
        <v>1156</v>
      </c>
      <c r="C58" s="215" t="s">
        <v>128</v>
      </c>
      <c r="D58" s="215"/>
      <c r="E58" s="222"/>
      <c r="F58" s="283">
        <f t="shared" si="0"/>
        <v>0</v>
      </c>
      <c r="G58" s="77">
        <v>579.64599999999996</v>
      </c>
      <c r="H58" s="215" t="s">
        <v>151</v>
      </c>
      <c r="I58" s="215" t="s">
        <v>1192</v>
      </c>
      <c r="J58" s="215" t="s">
        <v>100</v>
      </c>
      <c r="K58" s="215" t="s">
        <v>1494</v>
      </c>
      <c r="L58" s="215" t="s">
        <v>159</v>
      </c>
      <c r="M58" s="204">
        <v>2898230</v>
      </c>
      <c r="N58" s="204">
        <v>5000</v>
      </c>
      <c r="O58" s="77"/>
    </row>
    <row r="59" spans="1:15">
      <c r="A59" s="296">
        <v>45724</v>
      </c>
      <c r="B59" s="215" t="s">
        <v>1458</v>
      </c>
      <c r="C59" s="215" t="s">
        <v>526</v>
      </c>
      <c r="D59" s="215" t="s">
        <v>524</v>
      </c>
      <c r="E59" s="222">
        <v>105000</v>
      </c>
      <c r="F59" s="283">
        <f t="shared" si="0"/>
        <v>181.14504369908531</v>
      </c>
      <c r="G59" s="222">
        <v>579.64599999999996</v>
      </c>
      <c r="H59" s="215" t="s">
        <v>209</v>
      </c>
      <c r="I59" s="215" t="s">
        <v>1497</v>
      </c>
      <c r="J59" s="215" t="s">
        <v>100</v>
      </c>
      <c r="K59" s="215" t="s">
        <v>211</v>
      </c>
      <c r="L59" s="215" t="s">
        <v>159</v>
      </c>
      <c r="M59" s="215"/>
      <c r="N59" s="215"/>
      <c r="O59" s="77"/>
    </row>
    <row r="60" spans="1:15">
      <c r="A60" s="296">
        <v>45724</v>
      </c>
      <c r="B60" s="215" t="s">
        <v>1459</v>
      </c>
      <c r="C60" s="215" t="s">
        <v>179</v>
      </c>
      <c r="D60" s="215" t="s">
        <v>524</v>
      </c>
      <c r="E60" s="222">
        <v>7000</v>
      </c>
      <c r="F60" s="283">
        <f t="shared" si="0"/>
        <v>12.076336246605688</v>
      </c>
      <c r="G60" s="222">
        <v>579.64599999999996</v>
      </c>
      <c r="H60" s="215" t="s">
        <v>209</v>
      </c>
      <c r="I60" s="215" t="s">
        <v>1498</v>
      </c>
      <c r="J60" s="215" t="s">
        <v>100</v>
      </c>
      <c r="K60" s="215" t="s">
        <v>211</v>
      </c>
      <c r="L60" s="215" t="s">
        <v>159</v>
      </c>
      <c r="M60" s="215"/>
      <c r="N60" s="215"/>
      <c r="O60" s="77"/>
    </row>
    <row r="61" spans="1:15">
      <c r="A61" s="296">
        <v>45724</v>
      </c>
      <c r="B61" s="215" t="s">
        <v>1522</v>
      </c>
      <c r="C61" s="215" t="s">
        <v>526</v>
      </c>
      <c r="D61" s="215" t="s">
        <v>524</v>
      </c>
      <c r="E61" s="222">
        <v>165000</v>
      </c>
      <c r="F61" s="283">
        <f t="shared" si="0"/>
        <v>284.6564972414198</v>
      </c>
      <c r="G61" s="222">
        <v>579.64599999999996</v>
      </c>
      <c r="H61" s="215" t="s">
        <v>195</v>
      </c>
      <c r="I61" s="215" t="s">
        <v>1355</v>
      </c>
      <c r="J61" s="215" t="s">
        <v>100</v>
      </c>
      <c r="K61" s="215" t="s">
        <v>211</v>
      </c>
      <c r="L61" s="215" t="s">
        <v>159</v>
      </c>
      <c r="M61" s="77"/>
      <c r="N61" s="77"/>
      <c r="O61" s="77"/>
    </row>
    <row r="62" spans="1:15">
      <c r="A62" s="296">
        <v>45726</v>
      </c>
      <c r="B62" s="215" t="s">
        <v>960</v>
      </c>
      <c r="C62" s="215" t="s">
        <v>130</v>
      </c>
      <c r="D62" s="215" t="s">
        <v>120</v>
      </c>
      <c r="E62" s="222">
        <v>30000</v>
      </c>
      <c r="F62" s="283">
        <f t="shared" si="0"/>
        <v>51.755726771167232</v>
      </c>
      <c r="G62" s="222">
        <v>579.64599999999996</v>
      </c>
      <c r="H62" s="215" t="s">
        <v>161</v>
      </c>
      <c r="I62" s="215" t="s">
        <v>1136</v>
      </c>
      <c r="J62" s="215" t="s">
        <v>100</v>
      </c>
      <c r="K62" s="215" t="s">
        <v>211</v>
      </c>
      <c r="L62" s="215" t="s">
        <v>159</v>
      </c>
      <c r="M62" s="215"/>
      <c r="N62" s="215"/>
      <c r="O62" s="77"/>
    </row>
    <row r="63" spans="1:15">
      <c r="A63" s="296">
        <v>45726</v>
      </c>
      <c r="B63" s="215" t="s">
        <v>961</v>
      </c>
      <c r="C63" s="215" t="s">
        <v>278</v>
      </c>
      <c r="D63" s="215" t="s">
        <v>208</v>
      </c>
      <c r="E63" s="222">
        <v>45000</v>
      </c>
      <c r="F63" s="283">
        <f t="shared" si="0"/>
        <v>77.633590156750856</v>
      </c>
      <c r="G63" s="222">
        <v>579.64599999999996</v>
      </c>
      <c r="H63" s="215" t="s">
        <v>161</v>
      </c>
      <c r="I63" s="215" t="s">
        <v>1137</v>
      </c>
      <c r="J63" s="215" t="s">
        <v>100</v>
      </c>
      <c r="K63" s="215" t="s">
        <v>211</v>
      </c>
      <c r="L63" s="215" t="s">
        <v>159</v>
      </c>
      <c r="M63" s="215"/>
      <c r="N63" s="215"/>
      <c r="O63" s="77"/>
    </row>
    <row r="64" spans="1:15">
      <c r="A64" s="296">
        <v>45726</v>
      </c>
      <c r="B64" s="215" t="s">
        <v>1541</v>
      </c>
      <c r="C64" s="215" t="s">
        <v>179</v>
      </c>
      <c r="D64" s="215" t="s">
        <v>124</v>
      </c>
      <c r="E64" s="222">
        <v>10000</v>
      </c>
      <c r="F64" s="283">
        <f t="shared" si="0"/>
        <v>17.251908923722411</v>
      </c>
      <c r="G64" s="222">
        <v>579.64599999999996</v>
      </c>
      <c r="H64" s="215" t="s">
        <v>192</v>
      </c>
      <c r="I64" s="215" t="s">
        <v>1253</v>
      </c>
      <c r="J64" s="215" t="s">
        <v>100</v>
      </c>
      <c r="K64" s="215" t="s">
        <v>211</v>
      </c>
      <c r="L64" s="215" t="s">
        <v>159</v>
      </c>
      <c r="M64" s="77"/>
      <c r="N64" s="77"/>
      <c r="O64" s="77"/>
    </row>
    <row r="65" spans="1:15" s="277" customFormat="1">
      <c r="A65" s="404">
        <v>45726</v>
      </c>
      <c r="B65" s="239" t="s">
        <v>1535</v>
      </c>
      <c r="C65" s="239" t="s">
        <v>414</v>
      </c>
      <c r="D65" s="239" t="s">
        <v>124</v>
      </c>
      <c r="E65" s="405">
        <v>16000</v>
      </c>
      <c r="F65" s="406">
        <f t="shared" si="0"/>
        <v>27.603054277955859</v>
      </c>
      <c r="G65" s="405">
        <v>579.64599999999996</v>
      </c>
      <c r="H65" s="239" t="s">
        <v>351</v>
      </c>
      <c r="I65" s="239" t="s">
        <v>1335</v>
      </c>
      <c r="J65" s="239" t="s">
        <v>100</v>
      </c>
      <c r="K65" s="239" t="s">
        <v>211</v>
      </c>
      <c r="L65" s="239" t="s">
        <v>159</v>
      </c>
      <c r="M65" s="218"/>
      <c r="N65" s="218"/>
      <c r="O65" s="218"/>
    </row>
    <row r="66" spans="1:15">
      <c r="A66" s="296">
        <v>45726</v>
      </c>
      <c r="B66" s="215" t="s">
        <v>644</v>
      </c>
      <c r="C66" s="215" t="s">
        <v>1539</v>
      </c>
      <c r="D66" s="215" t="s">
        <v>121</v>
      </c>
      <c r="E66" s="222">
        <v>4170</v>
      </c>
      <c r="F66" s="283">
        <f t="shared" si="0"/>
        <v>7.1940460211922455</v>
      </c>
      <c r="G66" s="222">
        <v>579.64599999999996</v>
      </c>
      <c r="H66" s="215" t="s">
        <v>201</v>
      </c>
      <c r="I66" s="215" t="s">
        <v>1090</v>
      </c>
      <c r="J66" s="215" t="s">
        <v>100</v>
      </c>
      <c r="K66" s="215" t="s">
        <v>211</v>
      </c>
      <c r="L66" s="215" t="s">
        <v>159</v>
      </c>
      <c r="M66" s="77"/>
      <c r="N66" s="77"/>
      <c r="O66" s="77"/>
    </row>
    <row r="67" spans="1:15">
      <c r="A67" s="296">
        <v>45726</v>
      </c>
      <c r="B67" s="215" t="s">
        <v>1157</v>
      </c>
      <c r="C67" s="215" t="s">
        <v>126</v>
      </c>
      <c r="D67" s="215" t="s">
        <v>120</v>
      </c>
      <c r="E67" s="222">
        <v>150000</v>
      </c>
      <c r="F67" s="283">
        <f t="shared" ref="F67:F130" si="1">+E67/G67</f>
        <v>258.77863385583618</v>
      </c>
      <c r="G67" s="222">
        <v>579.64599999999996</v>
      </c>
      <c r="H67" s="215" t="s">
        <v>151</v>
      </c>
      <c r="I67" s="215" t="s">
        <v>1208</v>
      </c>
      <c r="J67" s="215" t="s">
        <v>100</v>
      </c>
      <c r="K67" s="215" t="s">
        <v>211</v>
      </c>
      <c r="L67" s="215" t="s">
        <v>159</v>
      </c>
      <c r="M67" s="77"/>
      <c r="N67" s="77"/>
      <c r="O67" s="77"/>
    </row>
    <row r="68" spans="1:15">
      <c r="A68" s="296">
        <v>45726</v>
      </c>
      <c r="B68" s="215" t="s">
        <v>1158</v>
      </c>
      <c r="C68" s="215" t="s">
        <v>126</v>
      </c>
      <c r="D68" s="215" t="s">
        <v>120</v>
      </c>
      <c r="E68" s="222">
        <v>150000</v>
      </c>
      <c r="F68" s="283">
        <f t="shared" si="1"/>
        <v>258.77863385583618</v>
      </c>
      <c r="G68" s="222">
        <v>579.64599999999996</v>
      </c>
      <c r="H68" s="215" t="s">
        <v>151</v>
      </c>
      <c r="I68" s="215" t="s">
        <v>1209</v>
      </c>
      <c r="J68" s="215" t="s">
        <v>100</v>
      </c>
      <c r="K68" s="215" t="s">
        <v>211</v>
      </c>
      <c r="L68" s="215" t="s">
        <v>159</v>
      </c>
      <c r="M68" s="77"/>
      <c r="N68" s="77"/>
      <c r="O68" s="77"/>
    </row>
    <row r="69" spans="1:15">
      <c r="A69" s="296">
        <v>45726</v>
      </c>
      <c r="B69" s="215" t="s">
        <v>1159</v>
      </c>
      <c r="C69" s="215" t="s">
        <v>130</v>
      </c>
      <c r="D69" s="215" t="s">
        <v>122</v>
      </c>
      <c r="E69" s="222">
        <v>1311000</v>
      </c>
      <c r="F69" s="283">
        <f t="shared" si="1"/>
        <v>2261.725259900008</v>
      </c>
      <c r="G69" s="222">
        <v>579.64599999999996</v>
      </c>
      <c r="H69" s="215" t="s">
        <v>151</v>
      </c>
      <c r="I69" s="215" t="s">
        <v>1210</v>
      </c>
      <c r="J69" s="215" t="s">
        <v>100</v>
      </c>
      <c r="K69" s="215" t="s">
        <v>211</v>
      </c>
      <c r="L69" s="215" t="s">
        <v>159</v>
      </c>
      <c r="M69" s="77"/>
      <c r="N69" s="77"/>
      <c r="O69" s="77"/>
    </row>
    <row r="70" spans="1:15">
      <c r="A70" s="296">
        <v>45727</v>
      </c>
      <c r="B70" s="215" t="s">
        <v>963</v>
      </c>
      <c r="C70" s="215" t="s">
        <v>130</v>
      </c>
      <c r="D70" s="215" t="s">
        <v>964</v>
      </c>
      <c r="E70" s="222">
        <v>112000</v>
      </c>
      <c r="F70" s="283">
        <f t="shared" si="1"/>
        <v>193.22137994569101</v>
      </c>
      <c r="G70" s="222">
        <v>579.64599999999996</v>
      </c>
      <c r="H70" s="215" t="s">
        <v>673</v>
      </c>
      <c r="I70" s="215" t="s">
        <v>1092</v>
      </c>
      <c r="J70" s="215" t="s">
        <v>100</v>
      </c>
      <c r="K70" s="215" t="s">
        <v>211</v>
      </c>
      <c r="L70" s="215" t="s">
        <v>159</v>
      </c>
      <c r="M70" s="215"/>
      <c r="N70" s="215"/>
      <c r="O70" s="77"/>
    </row>
    <row r="71" spans="1:15">
      <c r="A71" s="296">
        <v>45727</v>
      </c>
      <c r="B71" s="215" t="s">
        <v>1548</v>
      </c>
      <c r="C71" s="215" t="s">
        <v>526</v>
      </c>
      <c r="D71" s="215" t="s">
        <v>124</v>
      </c>
      <c r="E71" s="222">
        <v>130000</v>
      </c>
      <c r="F71" s="283">
        <f t="shared" si="1"/>
        <v>224.27481600839135</v>
      </c>
      <c r="G71" s="77">
        <v>579.64599999999996</v>
      </c>
      <c r="H71" s="215" t="s">
        <v>192</v>
      </c>
      <c r="I71" s="215" t="s">
        <v>1254</v>
      </c>
      <c r="J71" s="215" t="s">
        <v>100</v>
      </c>
      <c r="K71" s="215" t="s">
        <v>1494</v>
      </c>
      <c r="L71" s="215" t="s">
        <v>159</v>
      </c>
      <c r="M71" s="77"/>
      <c r="N71" s="77"/>
      <c r="O71" s="77"/>
    </row>
    <row r="72" spans="1:15">
      <c r="A72" s="296">
        <v>45727</v>
      </c>
      <c r="B72" s="215" t="s">
        <v>1568</v>
      </c>
      <c r="C72" s="215" t="s">
        <v>526</v>
      </c>
      <c r="D72" s="215" t="s">
        <v>180</v>
      </c>
      <c r="E72" s="222">
        <v>70000</v>
      </c>
      <c r="F72" s="283">
        <f t="shared" si="1"/>
        <v>120.76336246605688</v>
      </c>
      <c r="G72" s="77">
        <v>579.64599999999996</v>
      </c>
      <c r="H72" s="215" t="s">
        <v>181</v>
      </c>
      <c r="I72" s="215" t="s">
        <v>1278</v>
      </c>
      <c r="J72" s="215" t="s">
        <v>100</v>
      </c>
      <c r="K72" s="215" t="s">
        <v>1494</v>
      </c>
      <c r="L72" s="215" t="s">
        <v>159</v>
      </c>
      <c r="M72" s="77"/>
      <c r="N72" s="77"/>
      <c r="O72" s="77"/>
    </row>
    <row r="73" spans="1:15">
      <c r="A73" s="296">
        <v>45727</v>
      </c>
      <c r="B73" s="215" t="s">
        <v>1569</v>
      </c>
      <c r="C73" s="215" t="s">
        <v>179</v>
      </c>
      <c r="D73" s="215" t="s">
        <v>180</v>
      </c>
      <c r="E73" s="222">
        <v>6000</v>
      </c>
      <c r="F73" s="283">
        <f t="shared" si="1"/>
        <v>10.351145354233447</v>
      </c>
      <c r="G73" s="77">
        <v>579.64599999999996</v>
      </c>
      <c r="H73" s="215" t="s">
        <v>181</v>
      </c>
      <c r="I73" s="215" t="s">
        <v>1279</v>
      </c>
      <c r="J73" s="215" t="s">
        <v>100</v>
      </c>
      <c r="K73" s="215" t="s">
        <v>1494</v>
      </c>
      <c r="L73" s="215" t="s">
        <v>159</v>
      </c>
      <c r="M73" s="77"/>
      <c r="N73" s="77"/>
      <c r="O73" s="77"/>
    </row>
    <row r="74" spans="1:15" s="277" customFormat="1">
      <c r="A74" s="404">
        <v>45727</v>
      </c>
      <c r="B74" s="239" t="s">
        <v>1559</v>
      </c>
      <c r="C74" s="239" t="s">
        <v>526</v>
      </c>
      <c r="D74" s="239" t="s">
        <v>124</v>
      </c>
      <c r="E74" s="405">
        <v>70000</v>
      </c>
      <c r="F74" s="406">
        <f t="shared" si="1"/>
        <v>120.76336246605688</v>
      </c>
      <c r="G74" s="218">
        <v>579.64599999999996</v>
      </c>
      <c r="H74" s="239" t="s">
        <v>340</v>
      </c>
      <c r="I74" s="239" t="s">
        <v>1311</v>
      </c>
      <c r="J74" s="239" t="s">
        <v>100</v>
      </c>
      <c r="K74" s="239" t="s">
        <v>1494</v>
      </c>
      <c r="L74" s="239" t="s">
        <v>159</v>
      </c>
      <c r="M74" s="218"/>
      <c r="N74" s="218"/>
      <c r="O74" s="218"/>
    </row>
    <row r="75" spans="1:15" s="277" customFormat="1">
      <c r="A75" s="404">
        <v>45727</v>
      </c>
      <c r="B75" s="239" t="s">
        <v>1560</v>
      </c>
      <c r="C75" s="239" t="s">
        <v>179</v>
      </c>
      <c r="D75" s="239" t="s">
        <v>124</v>
      </c>
      <c r="E75" s="405">
        <v>12000</v>
      </c>
      <c r="F75" s="406">
        <f t="shared" si="1"/>
        <v>20.702290708466894</v>
      </c>
      <c r="G75" s="218">
        <v>579.64599999999996</v>
      </c>
      <c r="H75" s="239" t="s">
        <v>340</v>
      </c>
      <c r="I75" s="239" t="s">
        <v>1312</v>
      </c>
      <c r="J75" s="239" t="s">
        <v>100</v>
      </c>
      <c r="K75" s="239" t="s">
        <v>1494</v>
      </c>
      <c r="L75" s="239" t="s">
        <v>159</v>
      </c>
      <c r="M75" s="218"/>
      <c r="N75" s="218"/>
      <c r="O75" s="218"/>
    </row>
    <row r="76" spans="1:15">
      <c r="A76" s="296">
        <v>45727</v>
      </c>
      <c r="B76" s="215" t="s">
        <v>962</v>
      </c>
      <c r="C76" s="215" t="s">
        <v>129</v>
      </c>
      <c r="D76" s="215" t="s">
        <v>121</v>
      </c>
      <c r="E76" s="222">
        <v>72102</v>
      </c>
      <c r="F76" s="283">
        <f t="shared" si="1"/>
        <v>124.38971372182333</v>
      </c>
      <c r="G76" s="77">
        <v>579.64599999999996</v>
      </c>
      <c r="H76" s="215" t="s">
        <v>201</v>
      </c>
      <c r="I76" s="215" t="s">
        <v>1091</v>
      </c>
      <c r="J76" s="215" t="s">
        <v>100</v>
      </c>
      <c r="K76" s="215" t="s">
        <v>1494</v>
      </c>
      <c r="L76" s="215" t="s">
        <v>159</v>
      </c>
      <c r="M76" s="77"/>
      <c r="N76" s="77"/>
      <c r="O76" s="77"/>
    </row>
    <row r="77" spans="1:15">
      <c r="A77" s="296">
        <v>45727</v>
      </c>
      <c r="B77" s="215" t="s">
        <v>1161</v>
      </c>
      <c r="C77" s="215" t="s">
        <v>128</v>
      </c>
      <c r="D77" s="215"/>
      <c r="E77" s="222">
        <v>2107400</v>
      </c>
      <c r="F77" s="283">
        <f t="shared" si="1"/>
        <v>3635.6672865852611</v>
      </c>
      <c r="G77" s="77">
        <v>579.64599999999996</v>
      </c>
      <c r="H77" s="215" t="s">
        <v>151</v>
      </c>
      <c r="I77" s="215" t="s">
        <v>1193</v>
      </c>
      <c r="J77" s="215" t="s">
        <v>100</v>
      </c>
      <c r="K77" s="215" t="s">
        <v>1489</v>
      </c>
      <c r="L77" s="215" t="s">
        <v>159</v>
      </c>
      <c r="M77" s="77"/>
      <c r="N77" s="77"/>
      <c r="O77" s="77"/>
    </row>
    <row r="78" spans="1:15">
      <c r="A78" s="296">
        <v>45727</v>
      </c>
      <c r="B78" s="215" t="s">
        <v>1162</v>
      </c>
      <c r="C78" s="215" t="s">
        <v>131</v>
      </c>
      <c r="D78" s="215" t="s">
        <v>121</v>
      </c>
      <c r="E78" s="222">
        <v>24268</v>
      </c>
      <c r="F78" s="283">
        <f t="shared" si="1"/>
        <v>41.866932576089546</v>
      </c>
      <c r="G78" s="77">
        <v>579.64599999999996</v>
      </c>
      <c r="H78" s="215" t="s">
        <v>151</v>
      </c>
      <c r="I78" s="215" t="s">
        <v>1211</v>
      </c>
      <c r="J78" s="215" t="s">
        <v>100</v>
      </c>
      <c r="K78" s="215" t="s">
        <v>1494</v>
      </c>
      <c r="L78" s="215" t="s">
        <v>159</v>
      </c>
      <c r="M78" s="77"/>
      <c r="N78" s="77"/>
      <c r="O78" s="77"/>
    </row>
    <row r="79" spans="1:15">
      <c r="A79" s="296">
        <v>45727</v>
      </c>
      <c r="B79" s="215" t="s">
        <v>1163</v>
      </c>
      <c r="C79" s="215" t="s">
        <v>130</v>
      </c>
      <c r="D79" s="215" t="s">
        <v>121</v>
      </c>
      <c r="E79" s="222">
        <v>398693</v>
      </c>
      <c r="F79" s="283">
        <f t="shared" si="1"/>
        <v>687.82153245256598</v>
      </c>
      <c r="G79" s="222">
        <v>579.64599999999996</v>
      </c>
      <c r="H79" s="215" t="s">
        <v>151</v>
      </c>
      <c r="I79" s="215" t="s">
        <v>1212</v>
      </c>
      <c r="J79" s="215" t="s">
        <v>100</v>
      </c>
      <c r="K79" s="215" t="s">
        <v>211</v>
      </c>
      <c r="L79" s="215" t="s">
        <v>159</v>
      </c>
      <c r="M79" s="77"/>
      <c r="N79" s="77"/>
      <c r="O79" s="77"/>
    </row>
    <row r="80" spans="1:15">
      <c r="A80" s="296">
        <v>45727</v>
      </c>
      <c r="B80" s="215" t="s">
        <v>1164</v>
      </c>
      <c r="C80" s="215" t="s">
        <v>131</v>
      </c>
      <c r="D80" s="215" t="s">
        <v>121</v>
      </c>
      <c r="E80" s="222">
        <v>18255</v>
      </c>
      <c r="F80" s="283">
        <f t="shared" si="1"/>
        <v>31.493359740255261</v>
      </c>
      <c r="G80" s="77">
        <v>579.64599999999996</v>
      </c>
      <c r="H80" s="215" t="s">
        <v>151</v>
      </c>
      <c r="I80" s="215" t="s">
        <v>1213</v>
      </c>
      <c r="J80" s="215" t="s">
        <v>100</v>
      </c>
      <c r="K80" s="215" t="s">
        <v>1494</v>
      </c>
      <c r="L80" s="215" t="s">
        <v>159</v>
      </c>
      <c r="M80" s="77"/>
      <c r="N80" s="77"/>
      <c r="O80" s="77"/>
    </row>
    <row r="81" spans="1:15" s="277" customFormat="1">
      <c r="A81" s="404">
        <v>45728</v>
      </c>
      <c r="B81" s="239" t="s">
        <v>1536</v>
      </c>
      <c r="C81" s="239" t="s">
        <v>1538</v>
      </c>
      <c r="D81" s="239" t="s">
        <v>121</v>
      </c>
      <c r="E81" s="405">
        <v>56550</v>
      </c>
      <c r="F81" s="406">
        <f t="shared" si="1"/>
        <v>97.559544963650239</v>
      </c>
      <c r="G81" s="218">
        <v>579.64599999999996</v>
      </c>
      <c r="H81" s="239" t="s">
        <v>673</v>
      </c>
      <c r="I81" s="239" t="s">
        <v>1094</v>
      </c>
      <c r="J81" s="239" t="s">
        <v>100</v>
      </c>
      <c r="K81" s="239" t="s">
        <v>1494</v>
      </c>
      <c r="L81" s="239" t="s">
        <v>159</v>
      </c>
      <c r="M81" s="239"/>
      <c r="N81" s="239"/>
      <c r="O81" s="239"/>
    </row>
    <row r="82" spans="1:15" s="277" customFormat="1">
      <c r="A82" s="404">
        <v>45728</v>
      </c>
      <c r="B82" s="239" t="s">
        <v>965</v>
      </c>
      <c r="C82" s="239" t="s">
        <v>155</v>
      </c>
      <c r="D82" s="239" t="s">
        <v>120</v>
      </c>
      <c r="E82" s="405">
        <v>15000</v>
      </c>
      <c r="F82" s="406">
        <f t="shared" si="1"/>
        <v>25.877863385583616</v>
      </c>
      <c r="G82" s="218">
        <v>579.64599999999996</v>
      </c>
      <c r="H82" s="239" t="s">
        <v>673</v>
      </c>
      <c r="I82" s="239" t="s">
        <v>1095</v>
      </c>
      <c r="J82" s="239" t="s">
        <v>100</v>
      </c>
      <c r="K82" s="239" t="s">
        <v>1494</v>
      </c>
      <c r="L82" s="239" t="s">
        <v>159</v>
      </c>
      <c r="M82" s="239"/>
      <c r="N82" s="239"/>
      <c r="O82" s="239"/>
    </row>
    <row r="83" spans="1:15">
      <c r="A83" s="296">
        <v>45728</v>
      </c>
      <c r="B83" s="215" t="s">
        <v>1570</v>
      </c>
      <c r="C83" s="215" t="s">
        <v>526</v>
      </c>
      <c r="D83" s="215" t="s">
        <v>180</v>
      </c>
      <c r="E83" s="222">
        <v>15000</v>
      </c>
      <c r="F83" s="283">
        <f t="shared" si="1"/>
        <v>25.877863385583616</v>
      </c>
      <c r="G83" s="77">
        <v>579.64599999999996</v>
      </c>
      <c r="H83" s="215" t="s">
        <v>181</v>
      </c>
      <c r="I83" s="215" t="s">
        <v>1280</v>
      </c>
      <c r="J83" s="215" t="s">
        <v>100</v>
      </c>
      <c r="K83" s="215" t="s">
        <v>1494</v>
      </c>
      <c r="L83" s="215" t="s">
        <v>159</v>
      </c>
      <c r="M83" s="77"/>
      <c r="N83" s="77"/>
      <c r="O83" s="77"/>
    </row>
    <row r="84" spans="1:15">
      <c r="A84" s="296">
        <v>45728</v>
      </c>
      <c r="B84" s="215" t="s">
        <v>1569</v>
      </c>
      <c r="C84" s="215" t="s">
        <v>179</v>
      </c>
      <c r="D84" s="215" t="s">
        <v>180</v>
      </c>
      <c r="E84" s="222">
        <v>4000</v>
      </c>
      <c r="F84" s="283">
        <f t="shared" si="1"/>
        <v>6.9007635694889649</v>
      </c>
      <c r="G84" s="77">
        <v>579.64599999999996</v>
      </c>
      <c r="H84" s="215" t="s">
        <v>181</v>
      </c>
      <c r="I84" s="215" t="s">
        <v>1281</v>
      </c>
      <c r="J84" s="215" t="s">
        <v>100</v>
      </c>
      <c r="K84" s="215" t="s">
        <v>1494</v>
      </c>
      <c r="L84" s="215" t="s">
        <v>159</v>
      </c>
      <c r="M84" s="77"/>
      <c r="N84" s="77"/>
      <c r="O84" s="77"/>
    </row>
    <row r="85" spans="1:15">
      <c r="A85" s="296">
        <v>45728</v>
      </c>
      <c r="B85" s="215" t="s">
        <v>1516</v>
      </c>
      <c r="C85" s="215" t="s">
        <v>1538</v>
      </c>
      <c r="D85" s="215" t="s">
        <v>121</v>
      </c>
      <c r="E85" s="222">
        <v>25000</v>
      </c>
      <c r="F85" s="283">
        <f t="shared" si="1"/>
        <v>43.129772309306027</v>
      </c>
      <c r="G85" s="77">
        <v>579.64599999999996</v>
      </c>
      <c r="H85" s="215" t="s">
        <v>201</v>
      </c>
      <c r="I85" s="215" t="s">
        <v>1093</v>
      </c>
      <c r="J85" s="215" t="s">
        <v>100</v>
      </c>
      <c r="K85" s="215" t="s">
        <v>1494</v>
      </c>
      <c r="L85" s="215" t="s">
        <v>159</v>
      </c>
      <c r="M85" s="77"/>
      <c r="N85" s="77"/>
      <c r="O85" s="77"/>
    </row>
    <row r="86" spans="1:15">
      <c r="A86" s="296">
        <v>45729</v>
      </c>
      <c r="B86" s="215" t="s">
        <v>644</v>
      </c>
      <c r="C86" s="215" t="s">
        <v>1539</v>
      </c>
      <c r="D86" s="215" t="s">
        <v>121</v>
      </c>
      <c r="E86" s="222">
        <v>1740</v>
      </c>
      <c r="F86" s="283">
        <f t="shared" si="1"/>
        <v>3.0018321527276997</v>
      </c>
      <c r="G86" s="77">
        <v>579.64599999999996</v>
      </c>
      <c r="H86" s="215" t="s">
        <v>201</v>
      </c>
      <c r="I86" s="215" t="s">
        <v>1096</v>
      </c>
      <c r="J86" s="215" t="s">
        <v>100</v>
      </c>
      <c r="K86" s="215" t="s">
        <v>1494</v>
      </c>
      <c r="L86" s="215" t="s">
        <v>159</v>
      </c>
      <c r="M86" s="77"/>
      <c r="N86" s="77"/>
      <c r="O86" s="77"/>
    </row>
    <row r="87" spans="1:15">
      <c r="A87" s="296">
        <v>45730</v>
      </c>
      <c r="B87" s="215" t="s">
        <v>1571</v>
      </c>
      <c r="C87" s="215" t="s">
        <v>526</v>
      </c>
      <c r="D87" s="215" t="s">
        <v>180</v>
      </c>
      <c r="E87" s="222">
        <v>30000</v>
      </c>
      <c r="F87" s="283">
        <f t="shared" si="1"/>
        <v>51.755726771167232</v>
      </c>
      <c r="G87" s="77">
        <v>579.64599999999996</v>
      </c>
      <c r="H87" s="215" t="s">
        <v>181</v>
      </c>
      <c r="I87" s="215" t="s">
        <v>1282</v>
      </c>
      <c r="J87" s="215" t="s">
        <v>100</v>
      </c>
      <c r="K87" s="215" t="s">
        <v>1494</v>
      </c>
      <c r="L87" s="215" t="s">
        <v>159</v>
      </c>
      <c r="M87" s="77"/>
      <c r="N87" s="77"/>
      <c r="O87" s="77"/>
    </row>
    <row r="88" spans="1:15">
      <c r="A88" s="296">
        <v>45730</v>
      </c>
      <c r="B88" s="215" t="s">
        <v>1569</v>
      </c>
      <c r="C88" s="215" t="s">
        <v>179</v>
      </c>
      <c r="D88" s="215" t="s">
        <v>180</v>
      </c>
      <c r="E88" s="222">
        <v>4000</v>
      </c>
      <c r="F88" s="283">
        <f t="shared" si="1"/>
        <v>6.9007635694889649</v>
      </c>
      <c r="G88" s="77">
        <v>579.64599999999996</v>
      </c>
      <c r="H88" s="215" t="s">
        <v>181</v>
      </c>
      <c r="I88" s="215" t="s">
        <v>1283</v>
      </c>
      <c r="J88" s="215" t="s">
        <v>100</v>
      </c>
      <c r="K88" s="215" t="s">
        <v>1494</v>
      </c>
      <c r="L88" s="215" t="s">
        <v>159</v>
      </c>
      <c r="M88" s="77"/>
      <c r="N88" s="77"/>
      <c r="O88" s="77"/>
    </row>
    <row r="89" spans="1:15">
      <c r="A89" s="296">
        <v>45730</v>
      </c>
      <c r="B89" s="215" t="s">
        <v>1165</v>
      </c>
      <c r="C89" s="215" t="s">
        <v>126</v>
      </c>
      <c r="D89" s="215" t="s">
        <v>120</v>
      </c>
      <c r="E89" s="222">
        <v>300000</v>
      </c>
      <c r="F89" s="283">
        <f t="shared" si="1"/>
        <v>517.55726771167235</v>
      </c>
      <c r="G89" s="222">
        <v>579.64599999999996</v>
      </c>
      <c r="H89" s="215" t="s">
        <v>151</v>
      </c>
      <c r="I89" s="215" t="s">
        <v>1214</v>
      </c>
      <c r="J89" s="215" t="s">
        <v>100</v>
      </c>
      <c r="K89" s="215" t="s">
        <v>211</v>
      </c>
      <c r="L89" s="215" t="s">
        <v>159</v>
      </c>
      <c r="M89" s="77"/>
      <c r="N89" s="77"/>
      <c r="O89" s="77"/>
    </row>
    <row r="90" spans="1:15">
      <c r="A90" s="296">
        <v>45730</v>
      </c>
      <c r="B90" s="215" t="s">
        <v>1166</v>
      </c>
      <c r="C90" s="215" t="s">
        <v>126</v>
      </c>
      <c r="D90" s="215" t="s">
        <v>120</v>
      </c>
      <c r="E90" s="222">
        <v>200000</v>
      </c>
      <c r="F90" s="283">
        <f t="shared" si="1"/>
        <v>345.03817847444822</v>
      </c>
      <c r="G90" s="222">
        <v>579.64599999999996</v>
      </c>
      <c r="H90" s="215" t="s">
        <v>151</v>
      </c>
      <c r="I90" s="215" t="s">
        <v>1215</v>
      </c>
      <c r="J90" s="215" t="s">
        <v>100</v>
      </c>
      <c r="K90" s="215" t="s">
        <v>211</v>
      </c>
      <c r="L90" s="215" t="s">
        <v>159</v>
      </c>
      <c r="M90" s="77"/>
      <c r="N90" s="77"/>
      <c r="O90" s="77"/>
    </row>
    <row r="91" spans="1:15">
      <c r="A91" s="296">
        <v>45731</v>
      </c>
      <c r="B91" s="215" t="s">
        <v>1572</v>
      </c>
      <c r="C91" s="215" t="s">
        <v>526</v>
      </c>
      <c r="D91" s="215" t="s">
        <v>180</v>
      </c>
      <c r="E91" s="222">
        <v>15000</v>
      </c>
      <c r="F91" s="283">
        <f t="shared" si="1"/>
        <v>25.877863385583616</v>
      </c>
      <c r="G91" s="77">
        <v>579.64599999999996</v>
      </c>
      <c r="H91" s="215" t="s">
        <v>181</v>
      </c>
      <c r="I91" s="215" t="s">
        <v>1284</v>
      </c>
      <c r="J91" s="215" t="s">
        <v>100</v>
      </c>
      <c r="K91" s="215" t="s">
        <v>1494</v>
      </c>
      <c r="L91" s="215" t="s">
        <v>159</v>
      </c>
      <c r="M91" s="77"/>
      <c r="N91" s="77"/>
      <c r="O91" s="77"/>
    </row>
    <row r="92" spans="1:15">
      <c r="A92" s="296">
        <v>45731</v>
      </c>
      <c r="B92" s="215" t="s">
        <v>1569</v>
      </c>
      <c r="C92" s="215" t="s">
        <v>179</v>
      </c>
      <c r="D92" s="215" t="s">
        <v>180</v>
      </c>
      <c r="E92" s="222">
        <v>4000</v>
      </c>
      <c r="F92" s="283">
        <f t="shared" si="1"/>
        <v>6.9007635694889649</v>
      </c>
      <c r="G92" s="77">
        <v>579.64599999999996</v>
      </c>
      <c r="H92" s="215" t="s">
        <v>181</v>
      </c>
      <c r="I92" s="215" t="s">
        <v>1285</v>
      </c>
      <c r="J92" s="215" t="s">
        <v>100</v>
      </c>
      <c r="K92" s="215" t="s">
        <v>1494</v>
      </c>
      <c r="L92" s="215" t="s">
        <v>159</v>
      </c>
      <c r="M92" s="77"/>
      <c r="N92" s="77"/>
      <c r="O92" s="77"/>
    </row>
    <row r="93" spans="1:15">
      <c r="A93" s="296">
        <v>45732</v>
      </c>
      <c r="B93" s="215" t="s">
        <v>1461</v>
      </c>
      <c r="C93" s="215" t="s">
        <v>179</v>
      </c>
      <c r="D93" s="215" t="s">
        <v>524</v>
      </c>
      <c r="E93" s="222">
        <v>10000</v>
      </c>
      <c r="F93" s="283">
        <f t="shared" si="1"/>
        <v>17.251908923722411</v>
      </c>
      <c r="G93" s="77">
        <v>579.64599999999996</v>
      </c>
      <c r="H93" s="215" t="s">
        <v>209</v>
      </c>
      <c r="I93" s="215" t="s">
        <v>1499</v>
      </c>
      <c r="J93" s="215" t="s">
        <v>100</v>
      </c>
      <c r="K93" s="215" t="s">
        <v>1494</v>
      </c>
      <c r="L93" s="215" t="s">
        <v>159</v>
      </c>
      <c r="M93" s="215"/>
      <c r="N93" s="215"/>
      <c r="O93" s="77"/>
    </row>
    <row r="94" spans="1:15">
      <c r="A94" s="296">
        <v>45732</v>
      </c>
      <c r="B94" s="215" t="s">
        <v>1561</v>
      </c>
      <c r="C94" s="215" t="s">
        <v>526</v>
      </c>
      <c r="D94" s="215" t="s">
        <v>124</v>
      </c>
      <c r="E94" s="222">
        <v>75000</v>
      </c>
      <c r="F94" s="283">
        <f t="shared" si="1"/>
        <v>129.38931692791809</v>
      </c>
      <c r="G94" s="77">
        <v>579.64599999999996</v>
      </c>
      <c r="H94" s="215" t="s">
        <v>340</v>
      </c>
      <c r="I94" s="215" t="s">
        <v>1313</v>
      </c>
      <c r="J94" s="215" t="s">
        <v>100</v>
      </c>
      <c r="K94" s="215" t="s">
        <v>1494</v>
      </c>
      <c r="L94" s="215" t="s">
        <v>159</v>
      </c>
      <c r="M94" s="77"/>
      <c r="N94" s="77"/>
      <c r="O94" s="77"/>
    </row>
    <row r="95" spans="1:15">
      <c r="A95" s="296">
        <v>45732</v>
      </c>
      <c r="B95" s="215" t="s">
        <v>1560</v>
      </c>
      <c r="C95" s="215" t="s">
        <v>179</v>
      </c>
      <c r="D95" s="215" t="s">
        <v>124</v>
      </c>
      <c r="E95" s="222">
        <v>7000</v>
      </c>
      <c r="F95" s="283">
        <f t="shared" si="1"/>
        <v>12.076336246605688</v>
      </c>
      <c r="G95" s="77">
        <v>579.64599999999996</v>
      </c>
      <c r="H95" s="215" t="s">
        <v>340</v>
      </c>
      <c r="I95" s="215" t="s">
        <v>1314</v>
      </c>
      <c r="J95" s="215" t="s">
        <v>100</v>
      </c>
      <c r="K95" s="215" t="s">
        <v>1494</v>
      </c>
      <c r="L95" s="215" t="s">
        <v>159</v>
      </c>
      <c r="M95" s="77"/>
      <c r="N95" s="77"/>
      <c r="O95" s="77"/>
    </row>
    <row r="96" spans="1:15" s="277" customFormat="1">
      <c r="A96" s="404">
        <v>45732</v>
      </c>
      <c r="B96" s="239" t="s">
        <v>1358</v>
      </c>
      <c r="C96" s="239" t="s">
        <v>179</v>
      </c>
      <c r="D96" s="239" t="s">
        <v>524</v>
      </c>
      <c r="E96" s="405">
        <v>10000</v>
      </c>
      <c r="F96" s="406">
        <f t="shared" si="1"/>
        <v>17.251908923722411</v>
      </c>
      <c r="G96" s="218">
        <v>579.64599999999996</v>
      </c>
      <c r="H96" s="239" t="s">
        <v>195</v>
      </c>
      <c r="I96" s="239" t="s">
        <v>1359</v>
      </c>
      <c r="J96" s="239" t="s">
        <v>100</v>
      </c>
      <c r="K96" s="239" t="s">
        <v>1494</v>
      </c>
      <c r="L96" s="239" t="s">
        <v>159</v>
      </c>
      <c r="M96" s="218"/>
      <c r="N96" s="218"/>
      <c r="O96" s="218"/>
    </row>
    <row r="97" spans="1:15">
      <c r="A97" s="296">
        <v>45732</v>
      </c>
      <c r="B97" s="215" t="s">
        <v>1523</v>
      </c>
      <c r="C97" s="215" t="s">
        <v>179</v>
      </c>
      <c r="D97" s="215" t="s">
        <v>120</v>
      </c>
      <c r="E97" s="297">
        <v>10000</v>
      </c>
      <c r="F97" s="298">
        <f t="shared" si="1"/>
        <v>17.251908923722411</v>
      </c>
      <c r="G97" s="299">
        <v>579.64599999999996</v>
      </c>
      <c r="H97" s="215" t="s">
        <v>198</v>
      </c>
      <c r="I97" s="215" t="s">
        <v>1389</v>
      </c>
      <c r="J97" s="215" t="s">
        <v>100</v>
      </c>
      <c r="K97" s="215" t="s">
        <v>1494</v>
      </c>
      <c r="L97" s="215" t="s">
        <v>159</v>
      </c>
      <c r="M97" s="299"/>
      <c r="N97" s="299"/>
      <c r="O97" s="299"/>
    </row>
    <row r="98" spans="1:15">
      <c r="A98" s="296">
        <v>45732</v>
      </c>
      <c r="B98" s="215" t="s">
        <v>1418</v>
      </c>
      <c r="C98" s="215" t="s">
        <v>204</v>
      </c>
      <c r="D98" s="215" t="s">
        <v>120</v>
      </c>
      <c r="E98" s="222">
        <v>10000</v>
      </c>
      <c r="F98" s="283">
        <f t="shared" si="1"/>
        <v>17.251908923722411</v>
      </c>
      <c r="G98" s="77">
        <v>579.64599999999996</v>
      </c>
      <c r="H98" s="215" t="s">
        <v>505</v>
      </c>
      <c r="I98" s="215" t="s">
        <v>1419</v>
      </c>
      <c r="J98" s="215" t="s">
        <v>100</v>
      </c>
      <c r="K98" s="215" t="s">
        <v>1494</v>
      </c>
      <c r="L98" s="215" t="s">
        <v>159</v>
      </c>
      <c r="M98" s="77"/>
      <c r="N98" s="77"/>
      <c r="O98" s="77"/>
    </row>
    <row r="99" spans="1:15">
      <c r="A99" s="296">
        <v>45732</v>
      </c>
      <c r="B99" s="215" t="s">
        <v>1524</v>
      </c>
      <c r="C99" s="215" t="s">
        <v>179</v>
      </c>
      <c r="D99" s="215" t="s">
        <v>208</v>
      </c>
      <c r="E99" s="222">
        <v>10000</v>
      </c>
      <c r="F99" s="283">
        <f t="shared" si="1"/>
        <v>17.251908923722411</v>
      </c>
      <c r="G99" s="77">
        <v>579.64599999999996</v>
      </c>
      <c r="H99" s="215" t="s">
        <v>223</v>
      </c>
      <c r="I99" s="215" t="s">
        <v>1440</v>
      </c>
      <c r="J99" s="215" t="s">
        <v>100</v>
      </c>
      <c r="K99" s="215" t="s">
        <v>1494</v>
      </c>
      <c r="L99" s="215" t="s">
        <v>159</v>
      </c>
      <c r="M99" s="77"/>
      <c r="N99" s="77"/>
      <c r="O99" s="77"/>
    </row>
    <row r="100" spans="1:15">
      <c r="A100" s="296">
        <v>45733</v>
      </c>
      <c r="B100" s="215" t="s">
        <v>1462</v>
      </c>
      <c r="C100" s="215" t="s">
        <v>526</v>
      </c>
      <c r="D100" s="215" t="s">
        <v>525</v>
      </c>
      <c r="E100" s="222">
        <v>190000</v>
      </c>
      <c r="F100" s="283">
        <f t="shared" si="1"/>
        <v>327.78626955072582</v>
      </c>
      <c r="G100" s="222">
        <v>579.64599999999996</v>
      </c>
      <c r="H100" s="215" t="s">
        <v>209</v>
      </c>
      <c r="I100" s="215" t="s">
        <v>1463</v>
      </c>
      <c r="J100" s="215" t="s">
        <v>100</v>
      </c>
      <c r="K100" s="215" t="s">
        <v>211</v>
      </c>
      <c r="L100" s="215" t="s">
        <v>159</v>
      </c>
      <c r="M100" s="215"/>
      <c r="N100" s="215"/>
      <c r="O100" s="77"/>
    </row>
    <row r="101" spans="1:15">
      <c r="A101" s="296">
        <v>45733</v>
      </c>
      <c r="B101" s="215" t="s">
        <v>968</v>
      </c>
      <c r="C101" s="215" t="s">
        <v>1539</v>
      </c>
      <c r="D101" s="215" t="s">
        <v>121</v>
      </c>
      <c r="E101" s="222">
        <v>12690</v>
      </c>
      <c r="F101" s="283">
        <f t="shared" si="1"/>
        <v>21.892672424203738</v>
      </c>
      <c r="G101" s="77">
        <v>579.64599999999996</v>
      </c>
      <c r="H101" s="215" t="s">
        <v>673</v>
      </c>
      <c r="I101" s="215" t="s">
        <v>1097</v>
      </c>
      <c r="J101" s="215" t="s">
        <v>100</v>
      </c>
      <c r="K101" s="215" t="s">
        <v>1494</v>
      </c>
      <c r="L101" s="215" t="s">
        <v>159</v>
      </c>
      <c r="M101" s="77"/>
      <c r="N101" s="77"/>
      <c r="O101" s="77"/>
    </row>
    <row r="102" spans="1:15">
      <c r="A102" s="296">
        <v>45733</v>
      </c>
      <c r="B102" s="215" t="s">
        <v>969</v>
      </c>
      <c r="C102" s="215" t="s">
        <v>155</v>
      </c>
      <c r="D102" s="215" t="s">
        <v>122</v>
      </c>
      <c r="E102" s="222">
        <v>20000</v>
      </c>
      <c r="F102" s="283">
        <f t="shared" si="1"/>
        <v>34.503817847444822</v>
      </c>
      <c r="G102" s="77">
        <v>579.64599999999996</v>
      </c>
      <c r="H102" s="215" t="s">
        <v>673</v>
      </c>
      <c r="I102" s="215" t="s">
        <v>1098</v>
      </c>
      <c r="J102" s="215" t="s">
        <v>100</v>
      </c>
      <c r="K102" s="215" t="s">
        <v>1494</v>
      </c>
      <c r="L102" s="215" t="s">
        <v>159</v>
      </c>
      <c r="M102" s="77"/>
      <c r="N102" s="77"/>
      <c r="O102" s="77"/>
    </row>
    <row r="103" spans="1:15">
      <c r="A103" s="296">
        <v>45733</v>
      </c>
      <c r="B103" s="215" t="s">
        <v>970</v>
      </c>
      <c r="C103" s="215" t="s">
        <v>155</v>
      </c>
      <c r="D103" s="215" t="s">
        <v>120</v>
      </c>
      <c r="E103" s="222">
        <v>30000</v>
      </c>
      <c r="F103" s="283">
        <f t="shared" si="1"/>
        <v>51.755726771167232</v>
      </c>
      <c r="G103" s="77">
        <v>579.64599999999996</v>
      </c>
      <c r="H103" s="215" t="s">
        <v>673</v>
      </c>
      <c r="I103" s="215" t="s">
        <v>1099</v>
      </c>
      <c r="J103" s="215" t="s">
        <v>100</v>
      </c>
      <c r="K103" s="215" t="s">
        <v>1494</v>
      </c>
      <c r="L103" s="215" t="s">
        <v>159</v>
      </c>
      <c r="M103" s="77"/>
      <c r="N103" s="77"/>
      <c r="O103" s="77"/>
    </row>
    <row r="104" spans="1:15">
      <c r="A104" s="296">
        <v>45733</v>
      </c>
      <c r="B104" s="215" t="s">
        <v>971</v>
      </c>
      <c r="C104" s="215" t="s">
        <v>155</v>
      </c>
      <c r="D104" s="215" t="s">
        <v>124</v>
      </c>
      <c r="E104" s="222">
        <v>55000</v>
      </c>
      <c r="F104" s="283">
        <f t="shared" si="1"/>
        <v>94.885499080473267</v>
      </c>
      <c r="G104" s="77">
        <v>579.64599999999996</v>
      </c>
      <c r="H104" s="215" t="s">
        <v>673</v>
      </c>
      <c r="I104" s="215" t="s">
        <v>1100</v>
      </c>
      <c r="J104" s="215" t="s">
        <v>100</v>
      </c>
      <c r="K104" s="215" t="s">
        <v>1494</v>
      </c>
      <c r="L104" s="215" t="s">
        <v>159</v>
      </c>
      <c r="M104" s="77"/>
      <c r="N104" s="77"/>
      <c r="O104" s="77"/>
    </row>
    <row r="105" spans="1:15">
      <c r="A105" s="296">
        <v>45733</v>
      </c>
      <c r="B105" s="215" t="s">
        <v>972</v>
      </c>
      <c r="C105" s="215" t="s">
        <v>155</v>
      </c>
      <c r="D105" s="215" t="s">
        <v>123</v>
      </c>
      <c r="E105" s="222">
        <v>10000</v>
      </c>
      <c r="F105" s="283">
        <f t="shared" si="1"/>
        <v>17.251908923722411</v>
      </c>
      <c r="G105" s="77">
        <v>579.64599999999996</v>
      </c>
      <c r="H105" s="215" t="s">
        <v>673</v>
      </c>
      <c r="I105" s="215" t="s">
        <v>1101</v>
      </c>
      <c r="J105" s="215" t="s">
        <v>100</v>
      </c>
      <c r="K105" s="215" t="s">
        <v>1494</v>
      </c>
      <c r="L105" s="215" t="s">
        <v>159</v>
      </c>
      <c r="M105" s="77"/>
      <c r="N105" s="77"/>
      <c r="O105" s="215"/>
    </row>
    <row r="106" spans="1:15">
      <c r="A106" s="296">
        <v>45733</v>
      </c>
      <c r="B106" s="215" t="s">
        <v>973</v>
      </c>
      <c r="C106" s="215" t="s">
        <v>155</v>
      </c>
      <c r="D106" s="215" t="s">
        <v>120</v>
      </c>
      <c r="E106" s="222">
        <v>10000</v>
      </c>
      <c r="F106" s="283">
        <f t="shared" si="1"/>
        <v>17.251908923722411</v>
      </c>
      <c r="G106" s="77">
        <v>579.64599999999996</v>
      </c>
      <c r="H106" s="215" t="s">
        <v>673</v>
      </c>
      <c r="I106" s="215" t="s">
        <v>1102</v>
      </c>
      <c r="J106" s="215" t="s">
        <v>100</v>
      </c>
      <c r="K106" s="215" t="s">
        <v>1494</v>
      </c>
      <c r="L106" s="215" t="s">
        <v>159</v>
      </c>
      <c r="M106" s="77"/>
      <c r="N106" s="77"/>
      <c r="O106" s="77"/>
    </row>
    <row r="107" spans="1:15">
      <c r="A107" s="296">
        <v>45733</v>
      </c>
      <c r="B107" s="215" t="s">
        <v>974</v>
      </c>
      <c r="C107" s="215" t="s">
        <v>155</v>
      </c>
      <c r="D107" s="215" t="s">
        <v>124</v>
      </c>
      <c r="E107" s="222">
        <v>5000</v>
      </c>
      <c r="F107" s="283">
        <f t="shared" si="1"/>
        <v>8.6259544618612054</v>
      </c>
      <c r="G107" s="77">
        <v>579.64599999999996</v>
      </c>
      <c r="H107" s="215" t="s">
        <v>673</v>
      </c>
      <c r="I107" s="215" t="s">
        <v>1103</v>
      </c>
      <c r="J107" s="215" t="s">
        <v>100</v>
      </c>
      <c r="K107" s="215" t="s">
        <v>1494</v>
      </c>
      <c r="L107" s="215" t="s">
        <v>159</v>
      </c>
      <c r="M107" s="77"/>
      <c r="N107" s="77"/>
      <c r="O107" s="77"/>
    </row>
    <row r="108" spans="1:15">
      <c r="A108" s="296">
        <v>45733</v>
      </c>
      <c r="B108" s="215" t="s">
        <v>1360</v>
      </c>
      <c r="C108" s="215" t="s">
        <v>526</v>
      </c>
      <c r="D108" s="215" t="s">
        <v>524</v>
      </c>
      <c r="E108" s="222">
        <v>120000</v>
      </c>
      <c r="F108" s="283">
        <f t="shared" si="1"/>
        <v>207.02290708466893</v>
      </c>
      <c r="G108" s="77">
        <v>579.64599999999996</v>
      </c>
      <c r="H108" s="215" t="s">
        <v>195</v>
      </c>
      <c r="I108" s="215" t="s">
        <v>1361</v>
      </c>
      <c r="J108" s="215" t="s">
        <v>100</v>
      </c>
      <c r="K108" s="215" t="s">
        <v>1494</v>
      </c>
      <c r="L108" s="215" t="s">
        <v>159</v>
      </c>
      <c r="M108" s="77"/>
      <c r="N108" s="77"/>
      <c r="O108" s="77"/>
    </row>
    <row r="109" spans="1:15">
      <c r="A109" s="296">
        <v>45733</v>
      </c>
      <c r="B109" s="215" t="s">
        <v>1390</v>
      </c>
      <c r="C109" s="215" t="s">
        <v>526</v>
      </c>
      <c r="D109" s="215" t="s">
        <v>208</v>
      </c>
      <c r="E109" s="222">
        <v>90000</v>
      </c>
      <c r="F109" s="283">
        <f t="shared" si="1"/>
        <v>155.26718031350171</v>
      </c>
      <c r="G109" s="77">
        <v>579.64599999999996</v>
      </c>
      <c r="H109" s="215" t="s">
        <v>198</v>
      </c>
      <c r="I109" s="215" t="s">
        <v>1391</v>
      </c>
      <c r="J109" s="215" t="s">
        <v>100</v>
      </c>
      <c r="K109" s="215" t="s">
        <v>1494</v>
      </c>
      <c r="L109" s="215" t="s">
        <v>159</v>
      </c>
      <c r="M109" s="77"/>
      <c r="N109" s="77"/>
      <c r="O109" s="77"/>
    </row>
    <row r="110" spans="1:15" s="277" customFormat="1" ht="15" customHeight="1">
      <c r="A110" s="404">
        <v>45733</v>
      </c>
      <c r="B110" s="239" t="s">
        <v>1420</v>
      </c>
      <c r="C110" s="239" t="s">
        <v>526</v>
      </c>
      <c r="D110" s="239" t="s">
        <v>120</v>
      </c>
      <c r="E110" s="405">
        <v>190000</v>
      </c>
      <c r="F110" s="406">
        <f t="shared" si="1"/>
        <v>327.78626955072582</v>
      </c>
      <c r="G110" s="405">
        <v>579.64599999999996</v>
      </c>
      <c r="H110" s="239" t="s">
        <v>505</v>
      </c>
      <c r="I110" s="239" t="s">
        <v>1421</v>
      </c>
      <c r="J110" s="239" t="s">
        <v>100</v>
      </c>
      <c r="K110" s="239" t="s">
        <v>211</v>
      </c>
      <c r="L110" s="239" t="s">
        <v>159</v>
      </c>
      <c r="M110" s="218"/>
      <c r="N110" s="218"/>
      <c r="O110" s="218"/>
    </row>
    <row r="111" spans="1:15">
      <c r="A111" s="296">
        <v>45733</v>
      </c>
      <c r="B111" s="215" t="s">
        <v>1441</v>
      </c>
      <c r="C111" s="215" t="s">
        <v>526</v>
      </c>
      <c r="D111" s="215" t="s">
        <v>208</v>
      </c>
      <c r="E111" s="222">
        <v>90000</v>
      </c>
      <c r="F111" s="283">
        <f t="shared" si="1"/>
        <v>155.26718031350171</v>
      </c>
      <c r="G111" s="77">
        <v>579.64599999999996</v>
      </c>
      <c r="H111" s="215" t="s">
        <v>223</v>
      </c>
      <c r="I111" s="215" t="s">
        <v>1442</v>
      </c>
      <c r="J111" s="215" t="s">
        <v>100</v>
      </c>
      <c r="K111" s="215" t="s">
        <v>1494</v>
      </c>
      <c r="L111" s="215" t="s">
        <v>159</v>
      </c>
      <c r="M111" s="77"/>
      <c r="N111" s="77"/>
      <c r="O111" s="77"/>
    </row>
    <row r="112" spans="1:15">
      <c r="A112" s="296">
        <v>45734</v>
      </c>
      <c r="B112" s="215" t="s">
        <v>1573</v>
      </c>
      <c r="C112" s="215" t="s">
        <v>526</v>
      </c>
      <c r="D112" s="215" t="s">
        <v>180</v>
      </c>
      <c r="E112" s="222">
        <v>45000</v>
      </c>
      <c r="F112" s="283">
        <f t="shared" si="1"/>
        <v>77.633590156750856</v>
      </c>
      <c r="G112" s="77">
        <v>579.64599999999996</v>
      </c>
      <c r="H112" s="215" t="s">
        <v>181</v>
      </c>
      <c r="I112" s="215" t="s">
        <v>1286</v>
      </c>
      <c r="J112" s="215" t="s">
        <v>100</v>
      </c>
      <c r="K112" s="215" t="s">
        <v>1494</v>
      </c>
      <c r="L112" s="215" t="s">
        <v>159</v>
      </c>
      <c r="M112" s="77"/>
      <c r="N112" s="77"/>
      <c r="O112" s="77"/>
    </row>
    <row r="113" spans="1:15">
      <c r="A113" s="296">
        <v>45734</v>
      </c>
      <c r="B113" s="215" t="s">
        <v>1569</v>
      </c>
      <c r="C113" s="215" t="s">
        <v>179</v>
      </c>
      <c r="D113" s="215" t="s">
        <v>180</v>
      </c>
      <c r="E113" s="222">
        <v>6000</v>
      </c>
      <c r="F113" s="283">
        <f t="shared" si="1"/>
        <v>10.351145354233447</v>
      </c>
      <c r="G113" s="77">
        <v>579.64599999999996</v>
      </c>
      <c r="H113" s="215" t="s">
        <v>181</v>
      </c>
      <c r="I113" s="215" t="s">
        <v>1287</v>
      </c>
      <c r="J113" s="215" t="s">
        <v>100</v>
      </c>
      <c r="K113" s="215" t="s">
        <v>1494</v>
      </c>
      <c r="L113" s="215" t="s">
        <v>159</v>
      </c>
      <c r="M113" s="77"/>
      <c r="N113" s="77"/>
      <c r="O113" s="77"/>
    </row>
    <row r="114" spans="1:15" s="277" customFormat="1">
      <c r="A114" s="404">
        <v>45734</v>
      </c>
      <c r="B114" s="239" t="s">
        <v>1562</v>
      </c>
      <c r="C114" s="239" t="s">
        <v>526</v>
      </c>
      <c r="D114" s="239" t="s">
        <v>124</v>
      </c>
      <c r="E114" s="405">
        <v>30000</v>
      </c>
      <c r="F114" s="406">
        <f t="shared" si="1"/>
        <v>51.755726771167232</v>
      </c>
      <c r="G114" s="405">
        <v>579.64599999999996</v>
      </c>
      <c r="H114" s="239" t="s">
        <v>340</v>
      </c>
      <c r="I114" s="239" t="s">
        <v>1315</v>
      </c>
      <c r="J114" s="239" t="s">
        <v>100</v>
      </c>
      <c r="K114" s="239" t="s">
        <v>211</v>
      </c>
      <c r="L114" s="239" t="s">
        <v>159</v>
      </c>
      <c r="M114" s="218"/>
      <c r="N114" s="218"/>
      <c r="O114" s="218"/>
    </row>
    <row r="115" spans="1:15">
      <c r="A115" s="296">
        <v>45734</v>
      </c>
      <c r="B115" s="215" t="s">
        <v>1560</v>
      </c>
      <c r="C115" s="215" t="s">
        <v>179</v>
      </c>
      <c r="D115" s="215" t="s">
        <v>124</v>
      </c>
      <c r="E115" s="222">
        <v>7000</v>
      </c>
      <c r="F115" s="283">
        <f t="shared" si="1"/>
        <v>12.076336246605688</v>
      </c>
      <c r="G115" s="222">
        <v>579.64599999999996</v>
      </c>
      <c r="H115" s="215" t="s">
        <v>340</v>
      </c>
      <c r="I115" s="215" t="s">
        <v>1316</v>
      </c>
      <c r="J115" s="215" t="s">
        <v>100</v>
      </c>
      <c r="K115" s="215" t="s">
        <v>211</v>
      </c>
      <c r="L115" s="215" t="s">
        <v>159</v>
      </c>
      <c r="M115" s="77"/>
      <c r="N115" s="77"/>
      <c r="O115" s="77"/>
    </row>
    <row r="116" spans="1:15">
      <c r="A116" s="296">
        <v>45734</v>
      </c>
      <c r="B116" s="215" t="s">
        <v>1407</v>
      </c>
      <c r="C116" s="215" t="s">
        <v>179</v>
      </c>
      <c r="D116" s="215" t="s">
        <v>540</v>
      </c>
      <c r="E116" s="222">
        <v>7000</v>
      </c>
      <c r="F116" s="283">
        <f t="shared" si="1"/>
        <v>12.076336246605688</v>
      </c>
      <c r="G116" s="222">
        <v>579.64599999999996</v>
      </c>
      <c r="H116" s="215" t="s">
        <v>201</v>
      </c>
      <c r="I116" s="215" t="s">
        <v>1408</v>
      </c>
      <c r="J116" s="215" t="s">
        <v>100</v>
      </c>
      <c r="K116" s="215" t="s">
        <v>211</v>
      </c>
      <c r="L116" s="215" t="s">
        <v>159</v>
      </c>
      <c r="M116" s="77"/>
      <c r="N116" s="77"/>
      <c r="O116" s="77"/>
    </row>
    <row r="117" spans="1:15">
      <c r="A117" s="296">
        <v>45734</v>
      </c>
      <c r="B117" s="215" t="s">
        <v>1525</v>
      </c>
      <c r="C117" s="215" t="s">
        <v>179</v>
      </c>
      <c r="D117" s="215" t="s">
        <v>120</v>
      </c>
      <c r="E117" s="222">
        <v>21000</v>
      </c>
      <c r="F117" s="283">
        <f t="shared" si="1"/>
        <v>36.229008739817061</v>
      </c>
      <c r="G117" s="222">
        <v>579.64599999999996</v>
      </c>
      <c r="H117" s="215" t="s">
        <v>201</v>
      </c>
      <c r="I117" s="215" t="s">
        <v>1104</v>
      </c>
      <c r="J117" s="215" t="s">
        <v>100</v>
      </c>
      <c r="K117" s="215" t="s">
        <v>211</v>
      </c>
      <c r="L117" s="215" t="s">
        <v>159</v>
      </c>
      <c r="M117" s="77"/>
      <c r="N117" s="77"/>
      <c r="O117" s="77"/>
    </row>
    <row r="118" spans="1:15">
      <c r="A118" s="296">
        <v>45734</v>
      </c>
      <c r="B118" s="215" t="s">
        <v>1526</v>
      </c>
      <c r="C118" s="215" t="s">
        <v>526</v>
      </c>
      <c r="D118" s="215" t="s">
        <v>120</v>
      </c>
      <c r="E118" s="222">
        <v>75000</v>
      </c>
      <c r="F118" s="283">
        <f t="shared" si="1"/>
        <v>129.38931692791809</v>
      </c>
      <c r="G118" s="222">
        <v>579.64599999999996</v>
      </c>
      <c r="H118" s="215" t="s">
        <v>201</v>
      </c>
      <c r="I118" s="215" t="s">
        <v>1105</v>
      </c>
      <c r="J118" s="215" t="s">
        <v>100</v>
      </c>
      <c r="K118" s="215" t="s">
        <v>211</v>
      </c>
      <c r="L118" s="215" t="s">
        <v>159</v>
      </c>
      <c r="M118" s="77"/>
      <c r="N118" s="77"/>
      <c r="O118" s="77"/>
    </row>
    <row r="119" spans="1:15">
      <c r="A119" s="296">
        <v>45734</v>
      </c>
      <c r="B119" s="215" t="s">
        <v>978</v>
      </c>
      <c r="C119" s="215" t="s">
        <v>179</v>
      </c>
      <c r="D119" s="215" t="s">
        <v>120</v>
      </c>
      <c r="E119" s="222">
        <v>21000</v>
      </c>
      <c r="F119" s="283">
        <f t="shared" si="1"/>
        <v>36.229008739817061</v>
      </c>
      <c r="G119" s="222">
        <v>579.64599999999996</v>
      </c>
      <c r="H119" s="215" t="s">
        <v>201</v>
      </c>
      <c r="I119" s="215" t="s">
        <v>1106</v>
      </c>
      <c r="J119" s="215" t="s">
        <v>100</v>
      </c>
      <c r="K119" s="215" t="s">
        <v>211</v>
      </c>
      <c r="L119" s="215" t="s">
        <v>159</v>
      </c>
      <c r="M119" s="77"/>
      <c r="N119" s="77"/>
      <c r="O119" s="77"/>
    </row>
    <row r="120" spans="1:15">
      <c r="A120" s="296">
        <v>45734</v>
      </c>
      <c r="B120" s="215" t="s">
        <v>1527</v>
      </c>
      <c r="C120" s="215" t="s">
        <v>526</v>
      </c>
      <c r="D120" s="215" t="s">
        <v>120</v>
      </c>
      <c r="E120" s="222">
        <v>50000</v>
      </c>
      <c r="F120" s="283">
        <f t="shared" si="1"/>
        <v>86.259544618612054</v>
      </c>
      <c r="G120" s="222">
        <v>579.64599999999996</v>
      </c>
      <c r="H120" s="215" t="s">
        <v>201</v>
      </c>
      <c r="I120" s="215" t="s">
        <v>1107</v>
      </c>
      <c r="J120" s="215" t="s">
        <v>100</v>
      </c>
      <c r="K120" s="215" t="s">
        <v>211</v>
      </c>
      <c r="L120" s="215" t="s">
        <v>159</v>
      </c>
      <c r="M120" s="77"/>
      <c r="N120" s="77"/>
      <c r="O120" s="77"/>
    </row>
    <row r="121" spans="1:15">
      <c r="A121" s="296">
        <v>45735</v>
      </c>
      <c r="B121" s="215" t="s">
        <v>1466</v>
      </c>
      <c r="C121" s="215" t="s">
        <v>526</v>
      </c>
      <c r="D121" s="215" t="s">
        <v>525</v>
      </c>
      <c r="E121" s="222">
        <v>30000</v>
      </c>
      <c r="F121" s="283">
        <f t="shared" si="1"/>
        <v>51.755726771167232</v>
      </c>
      <c r="G121" s="222">
        <v>579.64599999999996</v>
      </c>
      <c r="H121" s="215" t="s">
        <v>209</v>
      </c>
      <c r="I121" s="215" t="s">
        <v>1500</v>
      </c>
      <c r="J121" s="215" t="s">
        <v>100</v>
      </c>
      <c r="K121" s="215" t="s">
        <v>211</v>
      </c>
      <c r="L121" s="215" t="s">
        <v>159</v>
      </c>
      <c r="M121" s="215"/>
      <c r="N121" s="215"/>
      <c r="O121" s="77"/>
    </row>
    <row r="122" spans="1:15">
      <c r="A122" s="296">
        <v>45735</v>
      </c>
      <c r="B122" s="215" t="s">
        <v>980</v>
      </c>
      <c r="C122" s="215" t="s">
        <v>1539</v>
      </c>
      <c r="D122" s="215" t="s">
        <v>121</v>
      </c>
      <c r="E122" s="222">
        <v>19830</v>
      </c>
      <c r="F122" s="283">
        <f t="shared" si="1"/>
        <v>34.210535395741545</v>
      </c>
      <c r="G122" s="222">
        <v>579.64599999999996</v>
      </c>
      <c r="H122" s="215" t="s">
        <v>673</v>
      </c>
      <c r="I122" s="215" t="s">
        <v>1108</v>
      </c>
      <c r="J122" s="215" t="s">
        <v>100</v>
      </c>
      <c r="K122" s="215" t="s">
        <v>211</v>
      </c>
      <c r="L122" s="215" t="s">
        <v>159</v>
      </c>
      <c r="M122" s="77"/>
      <c r="N122" s="77"/>
      <c r="O122" s="77"/>
    </row>
    <row r="123" spans="1:15">
      <c r="A123" s="296">
        <v>45735</v>
      </c>
      <c r="B123" s="215" t="s">
        <v>981</v>
      </c>
      <c r="C123" s="215" t="s">
        <v>1538</v>
      </c>
      <c r="D123" s="215" t="s">
        <v>121</v>
      </c>
      <c r="E123" s="222">
        <v>300000</v>
      </c>
      <c r="F123" s="283">
        <f t="shared" si="1"/>
        <v>517.55726771167235</v>
      </c>
      <c r="G123" s="222">
        <v>579.64599999999996</v>
      </c>
      <c r="H123" s="215" t="s">
        <v>673</v>
      </c>
      <c r="I123" s="215" t="s">
        <v>1109</v>
      </c>
      <c r="J123" s="215" t="s">
        <v>100</v>
      </c>
      <c r="K123" s="215" t="s">
        <v>211</v>
      </c>
      <c r="L123" s="215" t="s">
        <v>159</v>
      </c>
      <c r="M123" s="77"/>
      <c r="N123" s="77"/>
      <c r="O123" s="77"/>
    </row>
    <row r="124" spans="1:15">
      <c r="A124" s="296">
        <v>45735</v>
      </c>
      <c r="B124" s="215" t="s">
        <v>1542</v>
      </c>
      <c r="C124" s="215" t="s">
        <v>526</v>
      </c>
      <c r="D124" s="215" t="s">
        <v>124</v>
      </c>
      <c r="E124" s="222">
        <v>120000</v>
      </c>
      <c r="F124" s="283">
        <f t="shared" si="1"/>
        <v>207.02290708466893</v>
      </c>
      <c r="G124" s="222">
        <v>579.64599999999996</v>
      </c>
      <c r="H124" s="215" t="s">
        <v>192</v>
      </c>
      <c r="I124" s="215" t="s">
        <v>1256</v>
      </c>
      <c r="J124" s="215" t="s">
        <v>100</v>
      </c>
      <c r="K124" s="215" t="s">
        <v>211</v>
      </c>
      <c r="L124" s="215" t="s">
        <v>159</v>
      </c>
      <c r="M124" s="77"/>
      <c r="N124" s="77"/>
      <c r="O124" s="77"/>
    </row>
    <row r="125" spans="1:15">
      <c r="A125" s="296">
        <v>45735</v>
      </c>
      <c r="B125" s="215" t="s">
        <v>1289</v>
      </c>
      <c r="C125" s="215" t="s">
        <v>1537</v>
      </c>
      <c r="D125" s="215" t="s">
        <v>180</v>
      </c>
      <c r="E125" s="222">
        <v>10000</v>
      </c>
      <c r="F125" s="283">
        <f t="shared" si="1"/>
        <v>17.251908923722411</v>
      </c>
      <c r="G125" s="222">
        <v>579.64599999999996</v>
      </c>
      <c r="H125" s="215" t="s">
        <v>181</v>
      </c>
      <c r="I125" s="215" t="s">
        <v>1291</v>
      </c>
      <c r="J125" s="215" t="s">
        <v>100</v>
      </c>
      <c r="K125" s="215" t="s">
        <v>211</v>
      </c>
      <c r="L125" s="215" t="s">
        <v>159</v>
      </c>
      <c r="M125" s="77"/>
      <c r="N125" s="77"/>
      <c r="O125" s="77"/>
    </row>
    <row r="126" spans="1:15">
      <c r="A126" s="296">
        <v>45735</v>
      </c>
      <c r="B126" s="215" t="s">
        <v>1409</v>
      </c>
      <c r="C126" s="215" t="s">
        <v>526</v>
      </c>
      <c r="D126" s="215" t="s">
        <v>120</v>
      </c>
      <c r="E126" s="222">
        <v>30000</v>
      </c>
      <c r="F126" s="283">
        <f t="shared" si="1"/>
        <v>51.755726771167232</v>
      </c>
      <c r="G126" s="222">
        <v>579.64599999999996</v>
      </c>
      <c r="H126" s="215" t="s">
        <v>201</v>
      </c>
      <c r="I126" s="215" t="s">
        <v>1410</v>
      </c>
      <c r="J126" s="215" t="s">
        <v>100</v>
      </c>
      <c r="K126" s="215" t="s">
        <v>211</v>
      </c>
      <c r="L126" s="215" t="s">
        <v>159</v>
      </c>
      <c r="M126" s="77"/>
      <c r="N126" s="77"/>
      <c r="O126" s="77"/>
    </row>
    <row r="127" spans="1:15">
      <c r="A127" s="296">
        <v>45736</v>
      </c>
      <c r="B127" s="215" t="s">
        <v>1239</v>
      </c>
      <c r="C127" s="215" t="s">
        <v>414</v>
      </c>
      <c r="D127" s="215" t="s">
        <v>124</v>
      </c>
      <c r="E127" s="222">
        <v>31000</v>
      </c>
      <c r="F127" s="283">
        <f t="shared" si="1"/>
        <v>53.480917663539472</v>
      </c>
      <c r="G127" s="222">
        <v>579.64599999999996</v>
      </c>
      <c r="H127" s="215" t="s">
        <v>156</v>
      </c>
      <c r="I127" s="215" t="s">
        <v>1240</v>
      </c>
      <c r="J127" s="215" t="s">
        <v>100</v>
      </c>
      <c r="K127" s="215" t="s">
        <v>211</v>
      </c>
      <c r="L127" s="215" t="s">
        <v>159</v>
      </c>
      <c r="M127" s="215"/>
      <c r="N127" s="215"/>
      <c r="O127" s="77"/>
    </row>
    <row r="128" spans="1:15">
      <c r="A128" s="296">
        <v>45736</v>
      </c>
      <c r="B128" s="215" t="s">
        <v>726</v>
      </c>
      <c r="C128" s="215" t="s">
        <v>1539</v>
      </c>
      <c r="D128" s="215" t="s">
        <v>121</v>
      </c>
      <c r="E128" s="222">
        <f>33017-31000</f>
        <v>2017</v>
      </c>
      <c r="F128" s="283">
        <f t="shared" si="1"/>
        <v>3.4797100299148105</v>
      </c>
      <c r="G128" s="222">
        <v>579.64599999999996</v>
      </c>
      <c r="H128" s="215" t="s">
        <v>156</v>
      </c>
      <c r="I128" s="215" t="s">
        <v>1241</v>
      </c>
      <c r="J128" s="215" t="s">
        <v>100</v>
      </c>
      <c r="K128" s="215" t="s">
        <v>211</v>
      </c>
      <c r="L128" s="215" t="s">
        <v>159</v>
      </c>
      <c r="M128" s="215"/>
      <c r="N128" s="215"/>
      <c r="O128" s="77"/>
    </row>
    <row r="129" spans="1:15">
      <c r="A129" s="296">
        <v>45736</v>
      </c>
      <c r="B129" s="215" t="s">
        <v>1560</v>
      </c>
      <c r="C129" s="215" t="s">
        <v>179</v>
      </c>
      <c r="D129" s="215" t="s">
        <v>124</v>
      </c>
      <c r="E129" s="222">
        <v>6000</v>
      </c>
      <c r="F129" s="283">
        <f t="shared" si="1"/>
        <v>10.351145354233447</v>
      </c>
      <c r="G129" s="222">
        <v>579.64599999999996</v>
      </c>
      <c r="H129" s="215" t="s">
        <v>340</v>
      </c>
      <c r="I129" s="215" t="s">
        <v>1320</v>
      </c>
      <c r="J129" s="215" t="s">
        <v>100</v>
      </c>
      <c r="K129" s="215" t="s">
        <v>211</v>
      </c>
      <c r="L129" s="215" t="s">
        <v>159</v>
      </c>
      <c r="M129" s="77"/>
      <c r="N129" s="77"/>
      <c r="O129" s="77"/>
    </row>
    <row r="130" spans="1:15">
      <c r="A130" s="296">
        <v>45736</v>
      </c>
      <c r="B130" s="215" t="s">
        <v>968</v>
      </c>
      <c r="C130" s="215" t="s">
        <v>1539</v>
      </c>
      <c r="D130" s="215" t="s">
        <v>121</v>
      </c>
      <c r="E130" s="222">
        <v>6320</v>
      </c>
      <c r="F130" s="283">
        <f t="shared" si="1"/>
        <v>10.903206439792564</v>
      </c>
      <c r="G130" s="222">
        <v>579.64599999999996</v>
      </c>
      <c r="H130" s="215" t="s">
        <v>351</v>
      </c>
      <c r="I130" s="215" t="s">
        <v>1110</v>
      </c>
      <c r="J130" s="215" t="s">
        <v>100</v>
      </c>
      <c r="K130" s="215" t="s">
        <v>211</v>
      </c>
      <c r="L130" s="215" t="s">
        <v>159</v>
      </c>
      <c r="M130" s="77"/>
      <c r="N130" s="77"/>
      <c r="O130" s="77"/>
    </row>
    <row r="131" spans="1:15" s="403" customFormat="1">
      <c r="A131" s="399">
        <v>45737</v>
      </c>
      <c r="B131" s="400" t="s">
        <v>980</v>
      </c>
      <c r="C131" s="400" t="s">
        <v>1539</v>
      </c>
      <c r="D131" s="400" t="s">
        <v>121</v>
      </c>
      <c r="E131" s="224">
        <v>14640</v>
      </c>
      <c r="F131" s="401">
        <f t="shared" ref="F131:F193" si="2">+E131/G131</f>
        <v>25.256794664329611</v>
      </c>
      <c r="G131" s="224">
        <v>579.64599999999996</v>
      </c>
      <c r="H131" s="400" t="s">
        <v>673</v>
      </c>
      <c r="I131" s="400" t="s">
        <v>1111</v>
      </c>
      <c r="J131" s="400" t="s">
        <v>100</v>
      </c>
      <c r="K131" s="400" t="s">
        <v>211</v>
      </c>
      <c r="L131" s="400" t="s">
        <v>159</v>
      </c>
      <c r="M131" s="402"/>
      <c r="N131" s="402"/>
      <c r="O131" s="402"/>
    </row>
    <row r="132" spans="1:15">
      <c r="A132" s="296">
        <v>45737</v>
      </c>
      <c r="B132" s="215" t="s">
        <v>1574</v>
      </c>
      <c r="C132" s="215" t="s">
        <v>526</v>
      </c>
      <c r="D132" s="215" t="s">
        <v>180</v>
      </c>
      <c r="E132" s="222">
        <v>70000</v>
      </c>
      <c r="F132" s="283">
        <f t="shared" si="2"/>
        <v>120.76336246605688</v>
      </c>
      <c r="G132" s="222">
        <v>579.64599999999996</v>
      </c>
      <c r="H132" s="215" t="s">
        <v>181</v>
      </c>
      <c r="I132" s="215" t="s">
        <v>1293</v>
      </c>
      <c r="J132" s="215" t="s">
        <v>100</v>
      </c>
      <c r="K132" s="215" t="s">
        <v>211</v>
      </c>
      <c r="L132" s="215" t="s">
        <v>159</v>
      </c>
      <c r="M132" s="77"/>
      <c r="N132" s="77"/>
      <c r="O132" s="77"/>
    </row>
    <row r="133" spans="1:15">
      <c r="A133" s="296">
        <v>45737</v>
      </c>
      <c r="B133" s="215" t="s">
        <v>1575</v>
      </c>
      <c r="C133" s="215" t="s">
        <v>179</v>
      </c>
      <c r="D133" s="215" t="s">
        <v>180</v>
      </c>
      <c r="E133" s="222">
        <v>9000</v>
      </c>
      <c r="F133" s="283">
        <f t="shared" si="2"/>
        <v>15.526718031350169</v>
      </c>
      <c r="G133" s="222">
        <v>579.64599999999996</v>
      </c>
      <c r="H133" s="215" t="s">
        <v>181</v>
      </c>
      <c r="I133" s="215" t="s">
        <v>1294</v>
      </c>
      <c r="J133" s="215" t="s">
        <v>100</v>
      </c>
      <c r="K133" s="215" t="s">
        <v>211</v>
      </c>
      <c r="L133" s="215" t="s">
        <v>159</v>
      </c>
      <c r="M133" s="77"/>
      <c r="N133" s="77"/>
      <c r="O133" s="77"/>
    </row>
    <row r="134" spans="1:15">
      <c r="A134" s="296">
        <v>45737</v>
      </c>
      <c r="B134" s="215" t="s">
        <v>1563</v>
      </c>
      <c r="C134" s="215" t="s">
        <v>526</v>
      </c>
      <c r="D134" s="215" t="s">
        <v>124</v>
      </c>
      <c r="E134" s="222">
        <v>70000</v>
      </c>
      <c r="F134" s="283">
        <f t="shared" si="2"/>
        <v>120.76336246605688</v>
      </c>
      <c r="G134" s="222">
        <v>579.64599999999996</v>
      </c>
      <c r="H134" s="215" t="s">
        <v>340</v>
      </c>
      <c r="I134" s="215" t="s">
        <v>1321</v>
      </c>
      <c r="J134" s="215" t="s">
        <v>100</v>
      </c>
      <c r="K134" s="215" t="s">
        <v>211</v>
      </c>
      <c r="L134" s="215" t="s">
        <v>159</v>
      </c>
      <c r="M134" s="77"/>
      <c r="N134" s="77"/>
      <c r="O134" s="77"/>
    </row>
    <row r="135" spans="1:15">
      <c r="A135" s="296">
        <v>45737</v>
      </c>
      <c r="B135" s="215" t="s">
        <v>861</v>
      </c>
      <c r="C135" s="215" t="s">
        <v>179</v>
      </c>
      <c r="D135" s="215" t="s">
        <v>120</v>
      </c>
      <c r="E135" s="222">
        <v>7000</v>
      </c>
      <c r="F135" s="283">
        <f t="shared" si="2"/>
        <v>12.076336246605688</v>
      </c>
      <c r="G135" s="222">
        <v>579.64599999999996</v>
      </c>
      <c r="H135" s="215" t="s">
        <v>201</v>
      </c>
      <c r="I135" s="215" t="s">
        <v>1411</v>
      </c>
      <c r="J135" s="215" t="s">
        <v>100</v>
      </c>
      <c r="K135" s="215" t="s">
        <v>211</v>
      </c>
      <c r="L135" s="215" t="s">
        <v>159</v>
      </c>
      <c r="M135" s="77"/>
      <c r="N135" s="77"/>
      <c r="O135" s="77"/>
    </row>
    <row r="136" spans="1:15">
      <c r="A136" s="296">
        <v>45738</v>
      </c>
      <c r="B136" s="215" t="s">
        <v>1468</v>
      </c>
      <c r="C136" s="215" t="s">
        <v>526</v>
      </c>
      <c r="D136" s="215" t="s">
        <v>525</v>
      </c>
      <c r="E136" s="222">
        <v>11800</v>
      </c>
      <c r="F136" s="283">
        <f t="shared" si="2"/>
        <v>20.357252529992444</v>
      </c>
      <c r="G136" s="222">
        <v>579.64599999999996</v>
      </c>
      <c r="H136" s="215" t="s">
        <v>209</v>
      </c>
      <c r="I136" s="215" t="s">
        <v>1501</v>
      </c>
      <c r="J136" s="215" t="s">
        <v>100</v>
      </c>
      <c r="K136" s="215" t="s">
        <v>211</v>
      </c>
      <c r="L136" s="215" t="s">
        <v>159</v>
      </c>
      <c r="M136" s="215"/>
      <c r="N136" s="215"/>
      <c r="O136" s="77"/>
    </row>
    <row r="137" spans="1:15">
      <c r="A137" s="296">
        <v>45738</v>
      </c>
      <c r="B137" s="215" t="s">
        <v>1259</v>
      </c>
      <c r="C137" s="215" t="s">
        <v>414</v>
      </c>
      <c r="D137" s="215" t="s">
        <v>124</v>
      </c>
      <c r="E137" s="222">
        <v>90100</v>
      </c>
      <c r="F137" s="283">
        <f t="shared" si="2"/>
        <v>155.43969940273894</v>
      </c>
      <c r="G137" s="222">
        <v>579.64599999999996</v>
      </c>
      <c r="H137" s="215" t="s">
        <v>192</v>
      </c>
      <c r="I137" s="215" t="s">
        <v>1260</v>
      </c>
      <c r="J137" s="215" t="s">
        <v>100</v>
      </c>
      <c r="K137" s="215" t="s">
        <v>211</v>
      </c>
      <c r="L137" s="215" t="s">
        <v>159</v>
      </c>
      <c r="M137" s="77"/>
      <c r="N137" s="77"/>
      <c r="O137" s="77"/>
    </row>
    <row r="138" spans="1:15">
      <c r="A138" s="296">
        <v>45738</v>
      </c>
      <c r="B138" s="215" t="s">
        <v>1545</v>
      </c>
      <c r="C138" s="215" t="s">
        <v>179</v>
      </c>
      <c r="D138" s="215" t="s">
        <v>124</v>
      </c>
      <c r="E138" s="222">
        <v>15000</v>
      </c>
      <c r="F138" s="283">
        <f t="shared" si="2"/>
        <v>25.877863385583616</v>
      </c>
      <c r="G138" s="222">
        <v>579.64599999999996</v>
      </c>
      <c r="H138" s="215" t="s">
        <v>192</v>
      </c>
      <c r="I138" s="215" t="s">
        <v>1261</v>
      </c>
      <c r="J138" s="215" t="s">
        <v>100</v>
      </c>
      <c r="K138" s="215" t="s">
        <v>211</v>
      </c>
      <c r="L138" s="215" t="s">
        <v>159</v>
      </c>
      <c r="M138" s="77"/>
      <c r="N138" s="77"/>
      <c r="O138" s="215"/>
    </row>
    <row r="139" spans="1:15">
      <c r="A139" s="296">
        <v>45738</v>
      </c>
      <c r="B139" s="215" t="s">
        <v>1545</v>
      </c>
      <c r="C139" s="215" t="s">
        <v>179</v>
      </c>
      <c r="D139" s="215" t="s">
        <v>124</v>
      </c>
      <c r="E139" s="222">
        <v>15000</v>
      </c>
      <c r="F139" s="283">
        <f t="shared" si="2"/>
        <v>25.877863385583616</v>
      </c>
      <c r="G139" s="222">
        <v>579.64599999999996</v>
      </c>
      <c r="H139" s="215" t="s">
        <v>192</v>
      </c>
      <c r="I139" s="215" t="s">
        <v>1262</v>
      </c>
      <c r="J139" s="215" t="s">
        <v>100</v>
      </c>
      <c r="K139" s="215" t="s">
        <v>211</v>
      </c>
      <c r="L139" s="215" t="s">
        <v>159</v>
      </c>
      <c r="M139" s="77"/>
      <c r="N139" s="77"/>
      <c r="O139" s="77"/>
    </row>
    <row r="140" spans="1:15">
      <c r="A140" s="296">
        <v>45738</v>
      </c>
      <c r="B140" s="215" t="s">
        <v>1546</v>
      </c>
      <c r="C140" s="215" t="s">
        <v>179</v>
      </c>
      <c r="D140" s="215" t="s">
        <v>124</v>
      </c>
      <c r="E140" s="222">
        <v>50000</v>
      </c>
      <c r="F140" s="283">
        <f t="shared" si="2"/>
        <v>86.259544618612054</v>
      </c>
      <c r="G140" s="222">
        <v>579.64599999999996</v>
      </c>
      <c r="H140" s="215" t="s">
        <v>192</v>
      </c>
      <c r="I140" s="215" t="s">
        <v>1263</v>
      </c>
      <c r="J140" s="215" t="s">
        <v>100</v>
      </c>
      <c r="K140" s="215" t="s">
        <v>211</v>
      </c>
      <c r="L140" s="215" t="s">
        <v>159</v>
      </c>
      <c r="M140" s="77"/>
      <c r="N140" s="77"/>
      <c r="O140" s="77"/>
    </row>
    <row r="141" spans="1:15">
      <c r="A141" s="296">
        <v>45738</v>
      </c>
      <c r="B141" s="215" t="s">
        <v>1541</v>
      </c>
      <c r="C141" s="215" t="s">
        <v>179</v>
      </c>
      <c r="D141" s="215" t="s">
        <v>124</v>
      </c>
      <c r="E141" s="222">
        <v>7000</v>
      </c>
      <c r="F141" s="283">
        <f t="shared" si="2"/>
        <v>12.076336246605688</v>
      </c>
      <c r="G141" s="222">
        <v>579.64599999999996</v>
      </c>
      <c r="H141" s="215" t="s">
        <v>192</v>
      </c>
      <c r="I141" s="215" t="s">
        <v>1264</v>
      </c>
      <c r="J141" s="215" t="s">
        <v>100</v>
      </c>
      <c r="K141" s="215" t="s">
        <v>211</v>
      </c>
      <c r="L141" s="215" t="s">
        <v>159</v>
      </c>
      <c r="M141" s="77"/>
      <c r="N141" s="77"/>
      <c r="O141" s="77"/>
    </row>
    <row r="142" spans="1:15">
      <c r="A142" s="296">
        <v>45738</v>
      </c>
      <c r="B142" s="215" t="s">
        <v>1555</v>
      </c>
      <c r="C142" s="215" t="s">
        <v>526</v>
      </c>
      <c r="D142" s="215" t="s">
        <v>124</v>
      </c>
      <c r="E142" s="222">
        <v>225000</v>
      </c>
      <c r="F142" s="283">
        <f t="shared" si="2"/>
        <v>388.16795078375424</v>
      </c>
      <c r="G142" s="222">
        <v>579.64599999999996</v>
      </c>
      <c r="H142" s="215" t="s">
        <v>351</v>
      </c>
      <c r="I142" s="215" t="s">
        <v>1340</v>
      </c>
      <c r="J142" s="215" t="s">
        <v>100</v>
      </c>
      <c r="K142" s="215" t="s">
        <v>211</v>
      </c>
      <c r="L142" s="215" t="s">
        <v>159</v>
      </c>
      <c r="M142" s="77"/>
      <c r="N142" s="77"/>
      <c r="O142" s="77"/>
    </row>
    <row r="143" spans="1:15">
      <c r="A143" s="296">
        <v>45738</v>
      </c>
      <c r="B143" s="215" t="s">
        <v>1553</v>
      </c>
      <c r="C143" s="215" t="s">
        <v>179</v>
      </c>
      <c r="D143" s="215" t="s">
        <v>124</v>
      </c>
      <c r="E143" s="222">
        <v>7000</v>
      </c>
      <c r="F143" s="283">
        <f t="shared" si="2"/>
        <v>12.076336246605688</v>
      </c>
      <c r="G143" s="222">
        <v>579.64599999999996</v>
      </c>
      <c r="H143" s="215" t="s">
        <v>351</v>
      </c>
      <c r="I143" s="215" t="s">
        <v>1341</v>
      </c>
      <c r="J143" s="215" t="s">
        <v>100</v>
      </c>
      <c r="K143" s="215" t="s">
        <v>211</v>
      </c>
      <c r="L143" s="215" t="s">
        <v>159</v>
      </c>
      <c r="M143" s="77"/>
      <c r="N143" s="77"/>
      <c r="O143" s="77"/>
    </row>
    <row r="144" spans="1:15">
      <c r="A144" s="296">
        <v>45738</v>
      </c>
      <c r="B144" s="215" t="s">
        <v>260</v>
      </c>
      <c r="C144" s="215" t="s">
        <v>526</v>
      </c>
      <c r="D144" s="215" t="s">
        <v>208</v>
      </c>
      <c r="E144" s="222">
        <v>9600</v>
      </c>
      <c r="F144" s="283">
        <f t="shared" si="2"/>
        <v>16.561832566773514</v>
      </c>
      <c r="G144" s="222">
        <v>579.64599999999996</v>
      </c>
      <c r="H144" s="215" t="s">
        <v>195</v>
      </c>
      <c r="I144" s="215" t="s">
        <v>1366</v>
      </c>
      <c r="J144" s="215" t="s">
        <v>100</v>
      </c>
      <c r="K144" s="215" t="s">
        <v>211</v>
      </c>
      <c r="L144" s="215" t="s">
        <v>159</v>
      </c>
      <c r="M144" s="77"/>
      <c r="N144" s="77"/>
      <c r="O144" s="77"/>
    </row>
    <row r="145" spans="1:15" s="277" customFormat="1">
      <c r="A145" s="404">
        <v>45738</v>
      </c>
      <c r="B145" s="239" t="s">
        <v>604</v>
      </c>
      <c r="C145" s="239" t="s">
        <v>526</v>
      </c>
      <c r="D145" s="239" t="s">
        <v>208</v>
      </c>
      <c r="E145" s="405">
        <v>8900</v>
      </c>
      <c r="F145" s="406">
        <f t="shared" si="2"/>
        <v>15.354198942112946</v>
      </c>
      <c r="G145" s="405">
        <v>579.64599999999996</v>
      </c>
      <c r="H145" s="239" t="s">
        <v>198</v>
      </c>
      <c r="I145" s="239" t="s">
        <v>1394</v>
      </c>
      <c r="J145" s="239" t="s">
        <v>100</v>
      </c>
      <c r="K145" s="239" t="s">
        <v>211</v>
      </c>
      <c r="L145" s="239" t="s">
        <v>159</v>
      </c>
      <c r="M145" s="218"/>
      <c r="N145" s="218"/>
      <c r="O145" s="218"/>
    </row>
    <row r="146" spans="1:15">
      <c r="A146" s="296">
        <v>45738</v>
      </c>
      <c r="B146" s="215" t="s">
        <v>1412</v>
      </c>
      <c r="C146" s="215" t="s">
        <v>526</v>
      </c>
      <c r="D146" s="215" t="s">
        <v>120</v>
      </c>
      <c r="E146" s="222">
        <v>45000</v>
      </c>
      <c r="F146" s="283">
        <f t="shared" si="2"/>
        <v>77.633590156750856</v>
      </c>
      <c r="G146" s="77">
        <v>579.64599999999996</v>
      </c>
      <c r="H146" s="215" t="s">
        <v>201</v>
      </c>
      <c r="I146" s="215" t="s">
        <v>1413</v>
      </c>
      <c r="J146" s="215" t="s">
        <v>100</v>
      </c>
      <c r="K146" s="215" t="s">
        <v>1494</v>
      </c>
      <c r="L146" s="215" t="s">
        <v>159</v>
      </c>
      <c r="M146" s="77"/>
      <c r="N146" s="77"/>
      <c r="O146" s="77"/>
    </row>
    <row r="147" spans="1:15">
      <c r="A147" s="296">
        <v>45738</v>
      </c>
      <c r="B147" s="215" t="s">
        <v>1424</v>
      </c>
      <c r="C147" s="215" t="s">
        <v>204</v>
      </c>
      <c r="D147" s="215" t="s">
        <v>208</v>
      </c>
      <c r="E147" s="222">
        <v>25000</v>
      </c>
      <c r="F147" s="283">
        <f t="shared" si="2"/>
        <v>43.129772309306027</v>
      </c>
      <c r="G147" s="77">
        <v>579.64599999999996</v>
      </c>
      <c r="H147" s="215" t="s">
        <v>505</v>
      </c>
      <c r="I147" s="215" t="s">
        <v>1425</v>
      </c>
      <c r="J147" s="215" t="s">
        <v>100</v>
      </c>
      <c r="K147" s="215" t="s">
        <v>1494</v>
      </c>
      <c r="L147" s="215" t="s">
        <v>159</v>
      </c>
      <c r="M147" s="77"/>
      <c r="N147" s="77"/>
      <c r="O147" s="77"/>
    </row>
    <row r="148" spans="1:15">
      <c r="A148" s="296">
        <v>45738</v>
      </c>
      <c r="B148" s="215" t="s">
        <v>273</v>
      </c>
      <c r="C148" s="215" t="s">
        <v>526</v>
      </c>
      <c r="D148" s="215" t="s">
        <v>120</v>
      </c>
      <c r="E148" s="222">
        <v>19200</v>
      </c>
      <c r="F148" s="283">
        <f t="shared" si="2"/>
        <v>33.123665133547028</v>
      </c>
      <c r="G148" s="77">
        <v>579.64599999999996</v>
      </c>
      <c r="H148" s="215" t="s">
        <v>505</v>
      </c>
      <c r="I148" s="215" t="s">
        <v>1426</v>
      </c>
      <c r="J148" s="215" t="s">
        <v>100</v>
      </c>
      <c r="K148" s="215" t="s">
        <v>1494</v>
      </c>
      <c r="L148" s="215" t="s">
        <v>159</v>
      </c>
      <c r="M148" s="77"/>
      <c r="N148" s="77"/>
      <c r="O148" s="77"/>
    </row>
    <row r="149" spans="1:15">
      <c r="A149" s="296">
        <v>45738</v>
      </c>
      <c r="B149" s="215" t="s">
        <v>275</v>
      </c>
      <c r="C149" s="215" t="s">
        <v>526</v>
      </c>
      <c r="D149" s="215" t="s">
        <v>208</v>
      </c>
      <c r="E149" s="222">
        <v>9600</v>
      </c>
      <c r="F149" s="283">
        <f t="shared" si="2"/>
        <v>16.561832566773514</v>
      </c>
      <c r="G149" s="77">
        <v>579.64599999999996</v>
      </c>
      <c r="H149" s="215" t="s">
        <v>223</v>
      </c>
      <c r="I149" s="215" t="s">
        <v>1445</v>
      </c>
      <c r="J149" s="215" t="s">
        <v>100</v>
      </c>
      <c r="K149" s="215" t="s">
        <v>1494</v>
      </c>
      <c r="L149" s="215" t="s">
        <v>159</v>
      </c>
      <c r="M149" s="77"/>
      <c r="N149" s="77"/>
      <c r="O149" s="77"/>
    </row>
    <row r="150" spans="1:15">
      <c r="A150" s="296">
        <v>45739</v>
      </c>
      <c r="B150" s="215" t="s">
        <v>1547</v>
      </c>
      <c r="C150" s="215" t="s">
        <v>526</v>
      </c>
      <c r="D150" s="215" t="s">
        <v>208</v>
      </c>
      <c r="E150" s="222">
        <v>140000</v>
      </c>
      <c r="F150" s="283">
        <f t="shared" si="2"/>
        <v>241.52672493211375</v>
      </c>
      <c r="G150" s="77">
        <v>579.64599999999996</v>
      </c>
      <c r="H150" s="215" t="s">
        <v>192</v>
      </c>
      <c r="I150" s="215" t="s">
        <v>1265</v>
      </c>
      <c r="J150" s="215" t="s">
        <v>100</v>
      </c>
      <c r="K150" s="215" t="s">
        <v>1494</v>
      </c>
      <c r="L150" s="215" t="s">
        <v>159</v>
      </c>
      <c r="M150" s="77"/>
      <c r="N150" s="77"/>
      <c r="O150" s="77"/>
    </row>
    <row r="151" spans="1:15">
      <c r="A151" s="296">
        <v>45739</v>
      </c>
      <c r="B151" s="215" t="s">
        <v>1543</v>
      </c>
      <c r="C151" s="215" t="s">
        <v>526</v>
      </c>
      <c r="D151" s="215" t="s">
        <v>208</v>
      </c>
      <c r="E151" s="222">
        <v>140000</v>
      </c>
      <c r="F151" s="283">
        <f t="shared" si="2"/>
        <v>241.52672493211375</v>
      </c>
      <c r="G151" s="77">
        <v>579.64599999999996</v>
      </c>
      <c r="H151" s="215" t="s">
        <v>192</v>
      </c>
      <c r="I151" s="215" t="s">
        <v>1266</v>
      </c>
      <c r="J151" s="215" t="s">
        <v>100</v>
      </c>
      <c r="K151" s="215" t="s">
        <v>1494</v>
      </c>
      <c r="L151" s="215" t="s">
        <v>159</v>
      </c>
      <c r="M151" s="77"/>
      <c r="N151" s="77"/>
      <c r="O151" s="77"/>
    </row>
    <row r="152" spans="1:15">
      <c r="A152" s="296">
        <v>45740</v>
      </c>
      <c r="B152" s="215" t="s">
        <v>1470</v>
      </c>
      <c r="C152" s="215" t="s">
        <v>278</v>
      </c>
      <c r="D152" s="215" t="s">
        <v>525</v>
      </c>
      <c r="E152" s="222">
        <v>180000</v>
      </c>
      <c r="F152" s="283">
        <f t="shared" si="2"/>
        <v>310.53436062700342</v>
      </c>
      <c r="G152" s="222">
        <v>579.64599999999996</v>
      </c>
      <c r="H152" s="215" t="s">
        <v>209</v>
      </c>
      <c r="I152" s="215" t="s">
        <v>1502</v>
      </c>
      <c r="J152" s="215" t="s">
        <v>100</v>
      </c>
      <c r="K152" s="215" t="s">
        <v>211</v>
      </c>
      <c r="L152" s="215" t="s">
        <v>159</v>
      </c>
      <c r="M152" s="215"/>
      <c r="N152" s="215"/>
      <c r="O152" s="77"/>
    </row>
    <row r="153" spans="1:15">
      <c r="A153" s="296">
        <v>45740</v>
      </c>
      <c r="B153" s="215" t="s">
        <v>1471</v>
      </c>
      <c r="C153" s="215" t="s">
        <v>278</v>
      </c>
      <c r="D153" s="215" t="s">
        <v>525</v>
      </c>
      <c r="E153" s="222">
        <v>20000</v>
      </c>
      <c r="F153" s="283">
        <f t="shared" si="2"/>
        <v>34.503817847444822</v>
      </c>
      <c r="G153" s="77">
        <v>579.64599999999996</v>
      </c>
      <c r="H153" s="215" t="s">
        <v>209</v>
      </c>
      <c r="I153" s="215" t="s">
        <v>1503</v>
      </c>
      <c r="J153" s="215" t="s">
        <v>100</v>
      </c>
      <c r="K153" s="215" t="s">
        <v>1494</v>
      </c>
      <c r="L153" s="215" t="s">
        <v>159</v>
      </c>
      <c r="M153" s="215"/>
      <c r="N153" s="215"/>
      <c r="O153" s="77"/>
    </row>
    <row r="154" spans="1:15">
      <c r="A154" s="296">
        <v>45740</v>
      </c>
      <c r="B154" s="215" t="s">
        <v>985</v>
      </c>
      <c r="C154" s="215" t="s">
        <v>1539</v>
      </c>
      <c r="D154" s="215" t="s">
        <v>121</v>
      </c>
      <c r="E154" s="222">
        <v>7780</v>
      </c>
      <c r="F154" s="283">
        <f t="shared" si="2"/>
        <v>13.421985142656036</v>
      </c>
      <c r="G154" s="222">
        <v>579.64599999999996</v>
      </c>
      <c r="H154" s="215" t="s">
        <v>673</v>
      </c>
      <c r="I154" s="215" t="s">
        <v>1113</v>
      </c>
      <c r="J154" s="215" t="s">
        <v>100</v>
      </c>
      <c r="K154" s="215" t="s">
        <v>211</v>
      </c>
      <c r="L154" s="215" t="s">
        <v>159</v>
      </c>
      <c r="M154" s="77"/>
      <c r="N154" s="77"/>
      <c r="O154" s="77"/>
    </row>
    <row r="155" spans="1:15">
      <c r="A155" s="296">
        <v>45740</v>
      </c>
      <c r="B155" s="215" t="s">
        <v>986</v>
      </c>
      <c r="C155" s="215" t="s">
        <v>1539</v>
      </c>
      <c r="D155" s="215" t="s">
        <v>121</v>
      </c>
      <c r="E155" s="222">
        <v>6300</v>
      </c>
      <c r="F155" s="283">
        <f t="shared" si="2"/>
        <v>10.868702621945118</v>
      </c>
      <c r="G155" s="222">
        <v>579.64599999999996</v>
      </c>
      <c r="H155" s="215" t="s">
        <v>673</v>
      </c>
      <c r="I155" s="215" t="s">
        <v>1114</v>
      </c>
      <c r="J155" s="215" t="s">
        <v>100</v>
      </c>
      <c r="K155" s="215" t="s">
        <v>211</v>
      </c>
      <c r="L155" s="215" t="s">
        <v>159</v>
      </c>
      <c r="M155" s="77"/>
      <c r="N155" s="77"/>
      <c r="O155" s="77"/>
    </row>
    <row r="156" spans="1:15">
      <c r="A156" s="296">
        <v>45740</v>
      </c>
      <c r="B156" s="215" t="s">
        <v>1528</v>
      </c>
      <c r="C156" s="215" t="s">
        <v>179</v>
      </c>
      <c r="D156" s="215" t="s">
        <v>120</v>
      </c>
      <c r="E156" s="222">
        <v>42000</v>
      </c>
      <c r="F156" s="283">
        <f t="shared" si="2"/>
        <v>72.458017479634123</v>
      </c>
      <c r="G156" s="77">
        <v>579.64599999999996</v>
      </c>
      <c r="H156" s="215" t="s">
        <v>673</v>
      </c>
      <c r="I156" s="215" t="s">
        <v>1115</v>
      </c>
      <c r="J156" s="215" t="s">
        <v>100</v>
      </c>
      <c r="K156" s="215" t="s">
        <v>1494</v>
      </c>
      <c r="L156" s="215" t="s">
        <v>159</v>
      </c>
      <c r="M156" s="77"/>
      <c r="N156" s="77"/>
      <c r="O156" s="77"/>
    </row>
    <row r="157" spans="1:15">
      <c r="A157" s="296">
        <v>45740</v>
      </c>
      <c r="B157" s="215" t="s">
        <v>1544</v>
      </c>
      <c r="C157" s="215" t="s">
        <v>526</v>
      </c>
      <c r="D157" s="215" t="s">
        <v>124</v>
      </c>
      <c r="E157" s="222">
        <v>30000</v>
      </c>
      <c r="F157" s="283">
        <f t="shared" si="2"/>
        <v>51.755726771167232</v>
      </c>
      <c r="G157" s="77">
        <v>579.64599999999996</v>
      </c>
      <c r="H157" s="215" t="s">
        <v>192</v>
      </c>
      <c r="I157" s="215" t="s">
        <v>1267</v>
      </c>
      <c r="J157" s="215" t="s">
        <v>100</v>
      </c>
      <c r="K157" s="215" t="s">
        <v>1494</v>
      </c>
      <c r="L157" s="215" t="s">
        <v>159</v>
      </c>
      <c r="M157" s="77"/>
      <c r="N157" s="77"/>
      <c r="O157" s="77"/>
    </row>
    <row r="158" spans="1:15">
      <c r="A158" s="296">
        <v>45740</v>
      </c>
      <c r="B158" s="215" t="s">
        <v>1268</v>
      </c>
      <c r="C158" s="215" t="s">
        <v>179</v>
      </c>
      <c r="D158" s="215" t="s">
        <v>124</v>
      </c>
      <c r="E158" s="222">
        <v>68000</v>
      </c>
      <c r="F158" s="283">
        <f t="shared" si="2"/>
        <v>117.3129806813124</v>
      </c>
      <c r="G158" s="77">
        <v>579.64599999999996</v>
      </c>
      <c r="H158" s="215" t="s">
        <v>192</v>
      </c>
      <c r="I158" s="215" t="s">
        <v>1269</v>
      </c>
      <c r="J158" s="215" t="s">
        <v>100</v>
      </c>
      <c r="K158" s="215" t="s">
        <v>1494</v>
      </c>
      <c r="L158" s="215" t="s">
        <v>159</v>
      </c>
      <c r="M158" s="77"/>
      <c r="N158" s="77"/>
      <c r="O158" s="77"/>
    </row>
    <row r="159" spans="1:15">
      <c r="A159" s="296">
        <v>45740</v>
      </c>
      <c r="B159" s="215" t="s">
        <v>1569</v>
      </c>
      <c r="C159" s="215" t="s">
        <v>179</v>
      </c>
      <c r="D159" s="215" t="s">
        <v>180</v>
      </c>
      <c r="E159" s="222">
        <v>5000</v>
      </c>
      <c r="F159" s="283">
        <f t="shared" si="2"/>
        <v>8.6259544618612054</v>
      </c>
      <c r="G159" s="77">
        <v>579.64599999999996</v>
      </c>
      <c r="H159" s="215" t="s">
        <v>181</v>
      </c>
      <c r="I159" s="215" t="s">
        <v>1295</v>
      </c>
      <c r="J159" s="215" t="s">
        <v>100</v>
      </c>
      <c r="K159" s="215" t="s">
        <v>1494</v>
      </c>
      <c r="L159" s="215" t="s">
        <v>159</v>
      </c>
      <c r="M159" s="77"/>
      <c r="N159" s="77"/>
      <c r="O159" s="77"/>
    </row>
    <row r="160" spans="1:15">
      <c r="A160" s="296">
        <v>45740</v>
      </c>
      <c r="B160" s="215" t="s">
        <v>1576</v>
      </c>
      <c r="C160" s="215" t="s">
        <v>526</v>
      </c>
      <c r="D160" s="215" t="s">
        <v>180</v>
      </c>
      <c r="E160" s="222">
        <v>45000</v>
      </c>
      <c r="F160" s="283">
        <f t="shared" si="2"/>
        <v>77.633590156750856</v>
      </c>
      <c r="G160" s="77">
        <v>579.64599999999996</v>
      </c>
      <c r="H160" s="215" t="s">
        <v>181</v>
      </c>
      <c r="I160" s="215" t="s">
        <v>1296</v>
      </c>
      <c r="J160" s="215" t="s">
        <v>100</v>
      </c>
      <c r="K160" s="215" t="s">
        <v>1494</v>
      </c>
      <c r="L160" s="215" t="s">
        <v>159</v>
      </c>
      <c r="M160" s="77"/>
      <c r="N160" s="77"/>
      <c r="O160" s="77"/>
    </row>
    <row r="161" spans="1:15">
      <c r="A161" s="296">
        <v>45740</v>
      </c>
      <c r="B161" s="215" t="s">
        <v>1556</v>
      </c>
      <c r="C161" s="215" t="s">
        <v>526</v>
      </c>
      <c r="D161" s="215" t="s">
        <v>124</v>
      </c>
      <c r="E161" s="222">
        <v>30000</v>
      </c>
      <c r="F161" s="283">
        <f t="shared" si="2"/>
        <v>51.755726771167232</v>
      </c>
      <c r="G161" s="77">
        <v>579.64599999999996</v>
      </c>
      <c r="H161" s="215" t="s">
        <v>351</v>
      </c>
      <c r="I161" s="215" t="s">
        <v>1342</v>
      </c>
      <c r="J161" s="215" t="s">
        <v>100</v>
      </c>
      <c r="K161" s="215" t="s">
        <v>1494</v>
      </c>
      <c r="L161" s="215" t="s">
        <v>159</v>
      </c>
      <c r="M161" s="77"/>
      <c r="N161" s="77"/>
      <c r="O161" s="77"/>
    </row>
    <row r="162" spans="1:15">
      <c r="A162" s="296">
        <v>45740</v>
      </c>
      <c r="B162" s="215" t="s">
        <v>984</v>
      </c>
      <c r="C162" s="215" t="s">
        <v>1538</v>
      </c>
      <c r="D162" s="215" t="s">
        <v>121</v>
      </c>
      <c r="E162" s="222">
        <v>101000</v>
      </c>
      <c r="F162" s="283">
        <f t="shared" si="2"/>
        <v>174.24428012959635</v>
      </c>
      <c r="G162" s="77">
        <v>579.64599999999996</v>
      </c>
      <c r="H162" s="215" t="s">
        <v>201</v>
      </c>
      <c r="I162" s="215" t="s">
        <v>1112</v>
      </c>
      <c r="J162" s="215" t="s">
        <v>100</v>
      </c>
      <c r="K162" s="215" t="s">
        <v>1494</v>
      </c>
      <c r="L162" s="215" t="s">
        <v>159</v>
      </c>
      <c r="M162" s="77"/>
      <c r="N162" s="77"/>
      <c r="O162" s="77"/>
    </row>
    <row r="163" spans="1:15">
      <c r="A163" s="296">
        <v>45740</v>
      </c>
      <c r="B163" s="215" t="s">
        <v>988</v>
      </c>
      <c r="C163" s="215" t="s">
        <v>526</v>
      </c>
      <c r="D163" s="215" t="s">
        <v>120</v>
      </c>
      <c r="E163" s="222">
        <v>275000</v>
      </c>
      <c r="F163" s="283">
        <f t="shared" si="2"/>
        <v>474.42749540236633</v>
      </c>
      <c r="G163" s="222">
        <v>579.64599999999996</v>
      </c>
      <c r="H163" s="215" t="s">
        <v>201</v>
      </c>
      <c r="I163" s="215" t="s">
        <v>1116</v>
      </c>
      <c r="J163" s="215" t="s">
        <v>100</v>
      </c>
      <c r="K163" s="215" t="s">
        <v>211</v>
      </c>
      <c r="L163" s="215" t="s">
        <v>159</v>
      </c>
      <c r="M163" s="77"/>
      <c r="N163" s="77"/>
      <c r="O163" s="77"/>
    </row>
    <row r="164" spans="1:15">
      <c r="A164" s="296">
        <v>45741</v>
      </c>
      <c r="B164" s="215" t="s">
        <v>1569</v>
      </c>
      <c r="C164" s="215" t="s">
        <v>1298</v>
      </c>
      <c r="D164" s="215" t="s">
        <v>180</v>
      </c>
      <c r="E164" s="222">
        <v>15000</v>
      </c>
      <c r="F164" s="283">
        <f t="shared" si="2"/>
        <v>25.877863385583616</v>
      </c>
      <c r="G164" s="77">
        <v>579.64599999999996</v>
      </c>
      <c r="H164" s="215" t="s">
        <v>181</v>
      </c>
      <c r="I164" s="215" t="s">
        <v>1299</v>
      </c>
      <c r="J164" s="215" t="s">
        <v>100</v>
      </c>
      <c r="K164" s="215" t="s">
        <v>1494</v>
      </c>
      <c r="L164" s="215" t="s">
        <v>159</v>
      </c>
      <c r="M164" s="77"/>
      <c r="N164" s="77"/>
      <c r="O164" s="77"/>
    </row>
    <row r="165" spans="1:15">
      <c r="A165" s="296">
        <v>45741</v>
      </c>
      <c r="B165" s="215" t="s">
        <v>1577</v>
      </c>
      <c r="C165" s="215" t="s">
        <v>526</v>
      </c>
      <c r="D165" s="215" t="s">
        <v>180</v>
      </c>
      <c r="E165" s="222">
        <v>15000</v>
      </c>
      <c r="F165" s="283">
        <f t="shared" si="2"/>
        <v>25.877863385583616</v>
      </c>
      <c r="G165" s="77">
        <v>579.64599999999996</v>
      </c>
      <c r="H165" s="215" t="s">
        <v>181</v>
      </c>
      <c r="I165" s="215" t="s">
        <v>1300</v>
      </c>
      <c r="J165" s="215" t="s">
        <v>100</v>
      </c>
      <c r="K165" s="215" t="s">
        <v>1494</v>
      </c>
      <c r="L165" s="215" t="s">
        <v>159</v>
      </c>
      <c r="M165" s="77"/>
      <c r="N165" s="77"/>
      <c r="O165" s="77"/>
    </row>
    <row r="166" spans="1:15">
      <c r="A166" s="296">
        <v>45741</v>
      </c>
      <c r="B166" s="215" t="s">
        <v>1529</v>
      </c>
      <c r="C166" s="215" t="s">
        <v>1537</v>
      </c>
      <c r="D166" s="215" t="s">
        <v>124</v>
      </c>
      <c r="E166" s="222">
        <v>10000</v>
      </c>
      <c r="F166" s="283">
        <f t="shared" si="2"/>
        <v>17.251908923722411</v>
      </c>
      <c r="G166" s="77">
        <v>579.64599999999996</v>
      </c>
      <c r="H166" s="215" t="s">
        <v>351</v>
      </c>
      <c r="I166" s="215" t="s">
        <v>1346</v>
      </c>
      <c r="J166" s="215" t="s">
        <v>100</v>
      </c>
      <c r="K166" s="215" t="s">
        <v>1494</v>
      </c>
      <c r="L166" s="215" t="s">
        <v>159</v>
      </c>
      <c r="M166" s="77"/>
      <c r="N166" s="77"/>
      <c r="O166" s="77"/>
    </row>
    <row r="167" spans="1:15">
      <c r="A167" s="296">
        <v>45741</v>
      </c>
      <c r="B167" s="215" t="s">
        <v>980</v>
      </c>
      <c r="C167" s="215" t="s">
        <v>1539</v>
      </c>
      <c r="D167" s="215" t="s">
        <v>121</v>
      </c>
      <c r="E167" s="222">
        <v>11820</v>
      </c>
      <c r="F167" s="283">
        <f t="shared" si="2"/>
        <v>20.391756347839891</v>
      </c>
      <c r="G167" s="77">
        <v>579.64599999999996</v>
      </c>
      <c r="H167" s="215" t="s">
        <v>351</v>
      </c>
      <c r="I167" s="215" t="s">
        <v>1117</v>
      </c>
      <c r="J167" s="215" t="s">
        <v>100</v>
      </c>
      <c r="K167" s="215" t="s">
        <v>1494</v>
      </c>
      <c r="L167" s="215" t="s">
        <v>159</v>
      </c>
      <c r="M167" s="77"/>
      <c r="N167" s="77"/>
      <c r="O167" s="77"/>
    </row>
    <row r="168" spans="1:15">
      <c r="A168" s="296">
        <v>45742</v>
      </c>
      <c r="B168" s="215" t="s">
        <v>1395</v>
      </c>
      <c r="C168" s="215" t="s">
        <v>179</v>
      </c>
      <c r="D168" s="215" t="s">
        <v>120</v>
      </c>
      <c r="E168" s="222">
        <v>10000</v>
      </c>
      <c r="F168" s="283">
        <f t="shared" si="2"/>
        <v>17.251908923722411</v>
      </c>
      <c r="G168" s="77">
        <v>579.64599999999996</v>
      </c>
      <c r="H168" s="215" t="s">
        <v>198</v>
      </c>
      <c r="I168" s="215" t="s">
        <v>1396</v>
      </c>
      <c r="J168" s="215" t="s">
        <v>100</v>
      </c>
      <c r="K168" s="215" t="s">
        <v>1494</v>
      </c>
      <c r="L168" s="215" t="s">
        <v>159</v>
      </c>
      <c r="M168" s="77"/>
      <c r="N168" s="77"/>
      <c r="O168" s="77"/>
    </row>
    <row r="169" spans="1:15" s="277" customFormat="1">
      <c r="A169" s="404">
        <v>45741</v>
      </c>
      <c r="B169" s="239" t="s">
        <v>1398</v>
      </c>
      <c r="C169" s="239" t="s">
        <v>334</v>
      </c>
      <c r="D169" s="239" t="s">
        <v>120</v>
      </c>
      <c r="E169" s="405">
        <v>14000</v>
      </c>
      <c r="F169" s="406">
        <f t="shared" si="2"/>
        <v>24.152672493211377</v>
      </c>
      <c r="G169" s="218">
        <v>579.64599999999996</v>
      </c>
      <c r="H169" s="239" t="s">
        <v>198</v>
      </c>
      <c r="I169" s="239" t="s">
        <v>1399</v>
      </c>
      <c r="J169" s="239" t="s">
        <v>100</v>
      </c>
      <c r="K169" s="239" t="s">
        <v>1494</v>
      </c>
      <c r="L169" s="239" t="s">
        <v>159</v>
      </c>
      <c r="M169" s="218"/>
      <c r="N169" s="218"/>
      <c r="O169" s="218"/>
    </row>
    <row r="170" spans="1:15">
      <c r="A170" s="296">
        <v>45740</v>
      </c>
      <c r="B170" s="215" t="s">
        <v>1400</v>
      </c>
      <c r="C170" s="215" t="s">
        <v>526</v>
      </c>
      <c r="D170" s="215" t="s">
        <v>120</v>
      </c>
      <c r="E170" s="222">
        <v>135000</v>
      </c>
      <c r="F170" s="283">
        <f t="shared" si="2"/>
        <v>232.90077047025255</v>
      </c>
      <c r="G170" s="222">
        <v>579.64599999999996</v>
      </c>
      <c r="H170" s="215" t="s">
        <v>198</v>
      </c>
      <c r="I170" s="215" t="s">
        <v>1401</v>
      </c>
      <c r="J170" s="215" t="s">
        <v>100</v>
      </c>
      <c r="K170" s="215" t="s">
        <v>211</v>
      </c>
      <c r="L170" s="215" t="s">
        <v>159</v>
      </c>
      <c r="M170" s="77"/>
      <c r="N170" s="77"/>
      <c r="O170" s="77"/>
    </row>
    <row r="171" spans="1:15">
      <c r="A171" s="296">
        <v>45741</v>
      </c>
      <c r="B171" s="215" t="s">
        <v>989</v>
      </c>
      <c r="C171" s="215" t="s">
        <v>1538</v>
      </c>
      <c r="D171" s="215" t="s">
        <v>121</v>
      </c>
      <c r="E171" s="222">
        <v>25000</v>
      </c>
      <c r="F171" s="283">
        <f t="shared" si="2"/>
        <v>43.129772309306027</v>
      </c>
      <c r="G171" s="222">
        <v>579.64599999999996</v>
      </c>
      <c r="H171" s="215" t="s">
        <v>201</v>
      </c>
      <c r="I171" s="215" t="s">
        <v>1118</v>
      </c>
      <c r="J171" s="215" t="s">
        <v>100</v>
      </c>
      <c r="K171" s="215" t="s">
        <v>211</v>
      </c>
      <c r="L171" s="215" t="s">
        <v>159</v>
      </c>
      <c r="M171" s="77"/>
      <c r="N171" s="77"/>
      <c r="O171" s="77"/>
    </row>
    <row r="172" spans="1:15">
      <c r="A172" s="296">
        <v>45741</v>
      </c>
      <c r="B172" s="215" t="s">
        <v>1169</v>
      </c>
      <c r="C172" s="215" t="s">
        <v>130</v>
      </c>
      <c r="D172" s="215" t="s">
        <v>122</v>
      </c>
      <c r="E172" s="222">
        <v>1311000</v>
      </c>
      <c r="F172" s="283">
        <f t="shared" si="2"/>
        <v>2261.725259900008</v>
      </c>
      <c r="G172" s="222">
        <v>579.64599999999996</v>
      </c>
      <c r="H172" s="215" t="s">
        <v>151</v>
      </c>
      <c r="I172" s="215" t="s">
        <v>1216</v>
      </c>
      <c r="J172" s="215" t="s">
        <v>100</v>
      </c>
      <c r="K172" s="215" t="s">
        <v>211</v>
      </c>
      <c r="L172" s="215" t="s">
        <v>159</v>
      </c>
      <c r="M172" s="77"/>
      <c r="N172" s="77"/>
      <c r="O172" s="77"/>
    </row>
    <row r="173" spans="1:15">
      <c r="A173" s="296">
        <v>45741</v>
      </c>
      <c r="B173" s="215" t="s">
        <v>1170</v>
      </c>
      <c r="C173" s="215" t="s">
        <v>130</v>
      </c>
      <c r="D173" s="215" t="s">
        <v>121</v>
      </c>
      <c r="E173" s="222">
        <v>230000</v>
      </c>
      <c r="F173" s="283">
        <f t="shared" si="2"/>
        <v>396.79390524561546</v>
      </c>
      <c r="G173" s="222">
        <v>579.64599999999996</v>
      </c>
      <c r="H173" s="215" t="s">
        <v>151</v>
      </c>
      <c r="I173" s="215" t="s">
        <v>1217</v>
      </c>
      <c r="J173" s="215" t="s">
        <v>100</v>
      </c>
      <c r="K173" s="215" t="s">
        <v>211</v>
      </c>
      <c r="L173" s="215" t="s">
        <v>159</v>
      </c>
      <c r="M173" s="77"/>
      <c r="N173" s="77"/>
      <c r="O173" s="77"/>
    </row>
    <row r="174" spans="1:15">
      <c r="A174" s="296">
        <v>45741</v>
      </c>
      <c r="B174" s="215" t="s">
        <v>1171</v>
      </c>
      <c r="C174" s="215" t="s">
        <v>130</v>
      </c>
      <c r="D174" s="215" t="s">
        <v>120</v>
      </c>
      <c r="E174" s="222">
        <v>200000</v>
      </c>
      <c r="F174" s="283">
        <f t="shared" si="2"/>
        <v>345.03817847444822</v>
      </c>
      <c r="G174" s="222">
        <v>579.64599999999996</v>
      </c>
      <c r="H174" s="215" t="s">
        <v>151</v>
      </c>
      <c r="I174" s="215" t="s">
        <v>1218</v>
      </c>
      <c r="J174" s="215" t="s">
        <v>100</v>
      </c>
      <c r="K174" s="215" t="s">
        <v>211</v>
      </c>
      <c r="L174" s="215" t="s">
        <v>159</v>
      </c>
      <c r="M174" s="77"/>
      <c r="N174" s="77"/>
      <c r="O174" s="77"/>
    </row>
    <row r="175" spans="1:15">
      <c r="A175" s="296">
        <v>45741</v>
      </c>
      <c r="B175" s="215" t="s">
        <v>1172</v>
      </c>
      <c r="C175" s="215" t="s">
        <v>130</v>
      </c>
      <c r="D175" s="215" t="s">
        <v>120</v>
      </c>
      <c r="E175" s="222">
        <v>200000</v>
      </c>
      <c r="F175" s="283">
        <f t="shared" si="2"/>
        <v>345.03817847444822</v>
      </c>
      <c r="G175" s="222">
        <v>579.64599999999996</v>
      </c>
      <c r="H175" s="215" t="s">
        <v>151</v>
      </c>
      <c r="I175" s="215" t="s">
        <v>1219</v>
      </c>
      <c r="J175" s="215" t="s">
        <v>100</v>
      </c>
      <c r="K175" s="215" t="s">
        <v>211</v>
      </c>
      <c r="L175" s="215" t="s">
        <v>159</v>
      </c>
      <c r="M175" s="77"/>
      <c r="N175" s="77"/>
      <c r="O175" s="77"/>
    </row>
    <row r="176" spans="1:15">
      <c r="A176" s="296">
        <v>45741</v>
      </c>
      <c r="B176" s="215" t="s">
        <v>1173</v>
      </c>
      <c r="C176" s="215" t="s">
        <v>130</v>
      </c>
      <c r="D176" s="215" t="s">
        <v>120</v>
      </c>
      <c r="E176" s="222">
        <v>200000</v>
      </c>
      <c r="F176" s="283">
        <f t="shared" si="2"/>
        <v>345.03817847444822</v>
      </c>
      <c r="G176" s="222">
        <v>579.64599999999996</v>
      </c>
      <c r="H176" s="215" t="s">
        <v>151</v>
      </c>
      <c r="I176" s="215" t="s">
        <v>1220</v>
      </c>
      <c r="J176" s="215" t="s">
        <v>100</v>
      </c>
      <c r="K176" s="215" t="s">
        <v>211</v>
      </c>
      <c r="L176" s="215" t="s">
        <v>159</v>
      </c>
      <c r="M176" s="77"/>
      <c r="N176" s="77"/>
      <c r="O176" s="77"/>
    </row>
    <row r="177" spans="1:15">
      <c r="A177" s="296">
        <v>45741</v>
      </c>
      <c r="B177" s="215" t="s">
        <v>1174</v>
      </c>
      <c r="C177" s="215" t="s">
        <v>130</v>
      </c>
      <c r="D177" s="215" t="s">
        <v>120</v>
      </c>
      <c r="E177" s="222">
        <v>551482</v>
      </c>
      <c r="F177" s="283">
        <f t="shared" si="2"/>
        <v>951.41172370722825</v>
      </c>
      <c r="G177" s="222">
        <v>579.64599999999996</v>
      </c>
      <c r="H177" s="215" t="s">
        <v>151</v>
      </c>
      <c r="I177" s="215" t="s">
        <v>1221</v>
      </c>
      <c r="J177" s="215" t="s">
        <v>100</v>
      </c>
      <c r="K177" s="215" t="s">
        <v>211</v>
      </c>
      <c r="L177" s="215" t="s">
        <v>159</v>
      </c>
      <c r="M177" s="77"/>
      <c r="N177" s="77"/>
      <c r="O177" s="77"/>
    </row>
    <row r="178" spans="1:15">
      <c r="A178" s="296">
        <v>45741</v>
      </c>
      <c r="B178" s="215" t="s">
        <v>1175</v>
      </c>
      <c r="C178" s="215" t="s">
        <v>130</v>
      </c>
      <c r="D178" s="215" t="s">
        <v>123</v>
      </c>
      <c r="E178" s="222">
        <v>238140</v>
      </c>
      <c r="F178" s="283">
        <f t="shared" si="2"/>
        <v>410.83695910952548</v>
      </c>
      <c r="G178" s="222">
        <v>579.64599999999996</v>
      </c>
      <c r="H178" s="215" t="s">
        <v>151</v>
      </c>
      <c r="I178" s="215" t="s">
        <v>1222</v>
      </c>
      <c r="J178" s="215" t="s">
        <v>100</v>
      </c>
      <c r="K178" s="215" t="s">
        <v>211</v>
      </c>
      <c r="L178" s="215" t="s">
        <v>159</v>
      </c>
      <c r="M178" s="77"/>
      <c r="N178" s="77"/>
      <c r="O178" s="77"/>
    </row>
    <row r="179" spans="1:15">
      <c r="A179" s="296">
        <v>45741</v>
      </c>
      <c r="B179" s="215" t="s">
        <v>1176</v>
      </c>
      <c r="C179" s="215" t="s">
        <v>130</v>
      </c>
      <c r="D179" s="215" t="s">
        <v>120</v>
      </c>
      <c r="E179" s="222">
        <v>193548</v>
      </c>
      <c r="F179" s="283">
        <f t="shared" si="2"/>
        <v>333.9072468368625</v>
      </c>
      <c r="G179" s="222">
        <v>579.64599999999996</v>
      </c>
      <c r="H179" s="215" t="s">
        <v>151</v>
      </c>
      <c r="I179" s="215" t="s">
        <v>1481</v>
      </c>
      <c r="J179" s="215" t="s">
        <v>100</v>
      </c>
      <c r="K179" s="215" t="s">
        <v>211</v>
      </c>
      <c r="L179" s="215" t="s">
        <v>159</v>
      </c>
      <c r="M179" s="77"/>
      <c r="N179" s="77"/>
      <c r="O179" s="77"/>
    </row>
    <row r="180" spans="1:15">
      <c r="A180" s="296">
        <v>45742</v>
      </c>
      <c r="B180" s="215" t="s">
        <v>1540</v>
      </c>
      <c r="C180" s="215" t="s">
        <v>324</v>
      </c>
      <c r="D180" s="215" t="s">
        <v>121</v>
      </c>
      <c r="E180" s="222">
        <v>20000</v>
      </c>
      <c r="F180" s="283">
        <f t="shared" si="2"/>
        <v>34.503817847444822</v>
      </c>
      <c r="G180" s="222">
        <v>579.64599999999996</v>
      </c>
      <c r="H180" s="215" t="s">
        <v>673</v>
      </c>
      <c r="I180" s="215" t="s">
        <v>1119</v>
      </c>
      <c r="J180" s="215" t="s">
        <v>100</v>
      </c>
      <c r="K180" s="215" t="s">
        <v>211</v>
      </c>
      <c r="L180" s="215" t="s">
        <v>159</v>
      </c>
      <c r="M180" s="77"/>
      <c r="N180" s="77"/>
      <c r="O180" s="77"/>
    </row>
    <row r="181" spans="1:15">
      <c r="A181" s="296">
        <v>45742</v>
      </c>
      <c r="B181" s="215" t="s">
        <v>1564</v>
      </c>
      <c r="C181" s="215" t="s">
        <v>526</v>
      </c>
      <c r="D181" s="215" t="s">
        <v>124</v>
      </c>
      <c r="E181" s="222">
        <v>75000</v>
      </c>
      <c r="F181" s="283">
        <f t="shared" si="2"/>
        <v>129.38931692791809</v>
      </c>
      <c r="G181" s="222">
        <v>579.64599999999996</v>
      </c>
      <c r="H181" s="215" t="s">
        <v>340</v>
      </c>
      <c r="I181" s="215" t="s">
        <v>1323</v>
      </c>
      <c r="J181" s="215" t="s">
        <v>100</v>
      </c>
      <c r="K181" s="215" t="s">
        <v>211</v>
      </c>
      <c r="L181" s="215" t="s">
        <v>159</v>
      </c>
      <c r="M181" s="77"/>
      <c r="N181" s="77"/>
      <c r="O181" s="77"/>
    </row>
    <row r="182" spans="1:15">
      <c r="A182" s="296">
        <v>45742</v>
      </c>
      <c r="B182" s="215" t="s">
        <v>1560</v>
      </c>
      <c r="C182" s="215" t="s">
        <v>179</v>
      </c>
      <c r="D182" s="215" t="s">
        <v>124</v>
      </c>
      <c r="E182" s="222">
        <v>3000</v>
      </c>
      <c r="F182" s="283">
        <f t="shared" si="2"/>
        <v>5.1755726771167234</v>
      </c>
      <c r="G182" s="77">
        <v>579.64599999999996</v>
      </c>
      <c r="H182" s="215" t="s">
        <v>340</v>
      </c>
      <c r="I182" s="215" t="s">
        <v>1324</v>
      </c>
      <c r="J182" s="215" t="s">
        <v>100</v>
      </c>
      <c r="K182" s="215" t="s">
        <v>1494</v>
      </c>
      <c r="L182" s="215" t="s">
        <v>159</v>
      </c>
      <c r="M182" s="77"/>
      <c r="N182" s="77"/>
      <c r="O182" s="77"/>
    </row>
    <row r="183" spans="1:15">
      <c r="A183" s="296">
        <v>45742</v>
      </c>
      <c r="B183" s="215" t="s">
        <v>1447</v>
      </c>
      <c r="C183" s="215" t="s">
        <v>526</v>
      </c>
      <c r="D183" s="215" t="s">
        <v>208</v>
      </c>
      <c r="E183" s="222">
        <v>135000</v>
      </c>
      <c r="F183" s="283">
        <f t="shared" si="2"/>
        <v>232.90077047025255</v>
      </c>
      <c r="G183" s="77">
        <v>579.64599999999996</v>
      </c>
      <c r="H183" s="215" t="s">
        <v>223</v>
      </c>
      <c r="I183" s="215" t="s">
        <v>1448</v>
      </c>
      <c r="J183" s="215" t="s">
        <v>100</v>
      </c>
      <c r="K183" s="215" t="s">
        <v>1494</v>
      </c>
      <c r="L183" s="215" t="s">
        <v>159</v>
      </c>
      <c r="M183" s="77"/>
      <c r="N183" s="77"/>
      <c r="O183" s="77"/>
    </row>
    <row r="184" spans="1:15">
      <c r="A184" s="296">
        <v>45742</v>
      </c>
      <c r="B184" s="215" t="s">
        <v>1449</v>
      </c>
      <c r="C184" s="215" t="s">
        <v>179</v>
      </c>
      <c r="D184" s="215" t="s">
        <v>208</v>
      </c>
      <c r="E184" s="222">
        <v>10000</v>
      </c>
      <c r="F184" s="283">
        <f t="shared" si="2"/>
        <v>17.251908923722411</v>
      </c>
      <c r="G184" s="77">
        <v>579.64599999999996</v>
      </c>
      <c r="H184" s="215" t="s">
        <v>223</v>
      </c>
      <c r="I184" s="215" t="s">
        <v>1450</v>
      </c>
      <c r="J184" s="215" t="s">
        <v>100</v>
      </c>
      <c r="K184" s="215" t="s">
        <v>1494</v>
      </c>
      <c r="L184" s="215" t="s">
        <v>159</v>
      </c>
      <c r="M184" s="77"/>
      <c r="N184" s="77"/>
      <c r="O184" s="77"/>
    </row>
    <row r="185" spans="1:15">
      <c r="A185" s="296">
        <v>45742</v>
      </c>
      <c r="B185" s="215" t="s">
        <v>990</v>
      </c>
      <c r="C185" s="215" t="s">
        <v>337</v>
      </c>
      <c r="D185" s="215" t="s">
        <v>123</v>
      </c>
      <c r="E185" s="222">
        <v>200000</v>
      </c>
      <c r="F185" s="283">
        <f t="shared" si="2"/>
        <v>345.03817847444822</v>
      </c>
      <c r="G185" s="222">
        <v>579.64599999999996</v>
      </c>
      <c r="H185" s="215" t="s">
        <v>223</v>
      </c>
      <c r="I185" s="215" t="s">
        <v>1138</v>
      </c>
      <c r="J185" s="215" t="s">
        <v>100</v>
      </c>
      <c r="K185" s="215" t="s">
        <v>211</v>
      </c>
      <c r="L185" s="215" t="s">
        <v>159</v>
      </c>
      <c r="M185" s="77"/>
      <c r="N185" s="77"/>
      <c r="O185" s="77"/>
    </row>
    <row r="186" spans="1:15">
      <c r="A186" s="296">
        <v>45742</v>
      </c>
      <c r="B186" s="215" t="s">
        <v>1178</v>
      </c>
      <c r="C186" s="215" t="s">
        <v>131</v>
      </c>
      <c r="D186" s="215" t="s">
        <v>121</v>
      </c>
      <c r="E186" s="222">
        <v>52635</v>
      </c>
      <c r="F186" s="283">
        <f t="shared" si="2"/>
        <v>90.805422620012905</v>
      </c>
      <c r="G186" s="77">
        <v>579.64599999999996</v>
      </c>
      <c r="H186" s="215" t="s">
        <v>151</v>
      </c>
      <c r="I186" s="215" t="s">
        <v>1483</v>
      </c>
      <c r="J186" s="215" t="s">
        <v>100</v>
      </c>
      <c r="K186" s="215" t="s">
        <v>1494</v>
      </c>
      <c r="L186" s="215" t="s">
        <v>159</v>
      </c>
      <c r="M186" s="77"/>
      <c r="N186" s="77"/>
      <c r="O186" s="77"/>
    </row>
    <row r="187" spans="1:15">
      <c r="A187" s="296">
        <v>45743</v>
      </c>
      <c r="B187" s="215" t="s">
        <v>1578</v>
      </c>
      <c r="C187" s="215" t="s">
        <v>526</v>
      </c>
      <c r="D187" s="215" t="s">
        <v>180</v>
      </c>
      <c r="E187" s="222">
        <v>30000</v>
      </c>
      <c r="F187" s="283">
        <f t="shared" si="2"/>
        <v>51.755726771167232</v>
      </c>
      <c r="G187" s="77">
        <v>579.64599999999996</v>
      </c>
      <c r="H187" s="215" t="s">
        <v>181</v>
      </c>
      <c r="I187" s="215" t="s">
        <v>1301</v>
      </c>
      <c r="J187" s="215" t="s">
        <v>100</v>
      </c>
      <c r="K187" s="215" t="s">
        <v>1494</v>
      </c>
      <c r="L187" s="215" t="s">
        <v>159</v>
      </c>
      <c r="M187" s="77"/>
      <c r="N187" s="77"/>
      <c r="O187" s="77"/>
    </row>
    <row r="188" spans="1:15">
      <c r="A188" s="296">
        <v>45743</v>
      </c>
      <c r="B188" s="215" t="s">
        <v>1569</v>
      </c>
      <c r="C188" s="215" t="s">
        <v>179</v>
      </c>
      <c r="D188" s="215" t="s">
        <v>180</v>
      </c>
      <c r="E188" s="222">
        <v>15000</v>
      </c>
      <c r="F188" s="283">
        <f t="shared" si="2"/>
        <v>25.877863385583616</v>
      </c>
      <c r="G188" s="77">
        <v>579.64599999999996</v>
      </c>
      <c r="H188" s="215" t="s">
        <v>181</v>
      </c>
      <c r="I188" s="215" t="s">
        <v>1302</v>
      </c>
      <c r="J188" s="215" t="s">
        <v>100</v>
      </c>
      <c r="K188" s="215" t="s">
        <v>1494</v>
      </c>
      <c r="L188" s="215" t="s">
        <v>159</v>
      </c>
      <c r="M188" s="77"/>
      <c r="N188" s="77"/>
      <c r="O188" s="77"/>
    </row>
    <row r="189" spans="1:15">
      <c r="A189" s="296">
        <v>45743</v>
      </c>
      <c r="B189" s="215" t="s">
        <v>1303</v>
      </c>
      <c r="C189" s="215" t="s">
        <v>414</v>
      </c>
      <c r="D189" s="215" t="s">
        <v>180</v>
      </c>
      <c r="E189" s="222">
        <v>18000</v>
      </c>
      <c r="F189" s="283">
        <f t="shared" si="2"/>
        <v>31.053436062700339</v>
      </c>
      <c r="G189" s="77">
        <v>579.64599999999996</v>
      </c>
      <c r="H189" s="215" t="s">
        <v>181</v>
      </c>
      <c r="I189" s="215" t="s">
        <v>1304</v>
      </c>
      <c r="J189" s="215" t="s">
        <v>100</v>
      </c>
      <c r="K189" s="215" t="s">
        <v>1494</v>
      </c>
      <c r="L189" s="215" t="s">
        <v>159</v>
      </c>
      <c r="M189" s="77"/>
      <c r="N189" s="77"/>
      <c r="O189" s="77"/>
    </row>
    <row r="190" spans="1:15">
      <c r="A190" s="296">
        <v>45743</v>
      </c>
      <c r="B190" s="215" t="s">
        <v>1368</v>
      </c>
      <c r="C190" s="215" t="s">
        <v>179</v>
      </c>
      <c r="D190" s="215" t="s">
        <v>524</v>
      </c>
      <c r="E190" s="222">
        <v>8000</v>
      </c>
      <c r="F190" s="283">
        <f t="shared" si="2"/>
        <v>13.80152713897793</v>
      </c>
      <c r="G190" s="77">
        <v>579.64599999999996</v>
      </c>
      <c r="H190" s="215" t="s">
        <v>195</v>
      </c>
      <c r="I190" s="215" t="s">
        <v>1369</v>
      </c>
      <c r="J190" s="215" t="s">
        <v>100</v>
      </c>
      <c r="K190" s="215" t="s">
        <v>1494</v>
      </c>
      <c r="L190" s="215" t="s">
        <v>159</v>
      </c>
      <c r="M190" s="77"/>
      <c r="N190" s="77"/>
      <c r="O190" s="77"/>
    </row>
    <row r="191" spans="1:15">
      <c r="A191" s="296">
        <v>45743</v>
      </c>
      <c r="B191" s="215" t="s">
        <v>1428</v>
      </c>
      <c r="C191" s="215" t="s">
        <v>1538</v>
      </c>
      <c r="D191" s="215" t="s">
        <v>208</v>
      </c>
      <c r="E191" s="222">
        <v>28400</v>
      </c>
      <c r="F191" s="283">
        <f t="shared" si="2"/>
        <v>48.995421343371646</v>
      </c>
      <c r="G191" s="77">
        <v>579.64599999999996</v>
      </c>
      <c r="H191" s="215" t="s">
        <v>505</v>
      </c>
      <c r="I191" s="215" t="s">
        <v>1430</v>
      </c>
      <c r="J191" s="215" t="s">
        <v>100</v>
      </c>
      <c r="K191" s="215" t="s">
        <v>1494</v>
      </c>
      <c r="L191" s="215" t="s">
        <v>159</v>
      </c>
      <c r="M191" s="77"/>
      <c r="N191" s="77"/>
      <c r="O191" s="77"/>
    </row>
    <row r="192" spans="1:15">
      <c r="A192" s="296">
        <v>45744</v>
      </c>
      <c r="B192" s="215" t="s">
        <v>991</v>
      </c>
      <c r="C192" s="215" t="s">
        <v>324</v>
      </c>
      <c r="D192" s="215" t="s">
        <v>121</v>
      </c>
      <c r="E192" s="222">
        <v>8000</v>
      </c>
      <c r="F192" s="283">
        <f t="shared" si="2"/>
        <v>13.80152713897793</v>
      </c>
      <c r="G192" s="77">
        <v>579.64599999999996</v>
      </c>
      <c r="H192" s="215" t="s">
        <v>673</v>
      </c>
      <c r="I192" s="215" t="s">
        <v>1120</v>
      </c>
      <c r="J192" s="215" t="s">
        <v>100</v>
      </c>
      <c r="K192" s="215" t="s">
        <v>1494</v>
      </c>
      <c r="L192" s="215" t="s">
        <v>159</v>
      </c>
      <c r="M192" s="77"/>
      <c r="N192" s="77"/>
      <c r="O192" s="77"/>
    </row>
    <row r="193" spans="1:15" s="403" customFormat="1">
      <c r="A193" s="399">
        <v>45744</v>
      </c>
      <c r="B193" s="400" t="s">
        <v>993</v>
      </c>
      <c r="C193" s="400" t="s">
        <v>324</v>
      </c>
      <c r="D193" s="400" t="s">
        <v>121</v>
      </c>
      <c r="E193" s="224">
        <v>75625</v>
      </c>
      <c r="F193" s="401">
        <f t="shared" si="2"/>
        <v>130.46756123565072</v>
      </c>
      <c r="G193" s="402">
        <v>579.64599999999996</v>
      </c>
      <c r="H193" s="400" t="s">
        <v>673</v>
      </c>
      <c r="I193" s="400" t="s">
        <v>1122</v>
      </c>
      <c r="J193" s="400" t="s">
        <v>100</v>
      </c>
      <c r="K193" s="400" t="s">
        <v>1494</v>
      </c>
      <c r="L193" s="400" t="s">
        <v>159</v>
      </c>
      <c r="M193" s="402"/>
      <c r="N193" s="402"/>
      <c r="O193" s="402"/>
    </row>
    <row r="194" spans="1:15">
      <c r="A194" s="296">
        <v>45744</v>
      </c>
      <c r="B194" s="215" t="s">
        <v>1577</v>
      </c>
      <c r="C194" s="215" t="s">
        <v>526</v>
      </c>
      <c r="D194" s="215" t="s">
        <v>180</v>
      </c>
      <c r="E194" s="222">
        <v>15000</v>
      </c>
      <c r="F194" s="283">
        <f t="shared" ref="F194:F227" si="3">+E194/G194</f>
        <v>25.877863385583616</v>
      </c>
      <c r="G194" s="77">
        <v>579.64599999999996</v>
      </c>
      <c r="H194" s="215" t="s">
        <v>181</v>
      </c>
      <c r="I194" s="215" t="s">
        <v>1305</v>
      </c>
      <c r="J194" s="215" t="s">
        <v>100</v>
      </c>
      <c r="K194" s="215" t="s">
        <v>1494</v>
      </c>
      <c r="L194" s="215" t="s">
        <v>159</v>
      </c>
      <c r="M194" s="77"/>
      <c r="N194" s="77"/>
      <c r="O194" s="77"/>
    </row>
    <row r="195" spans="1:15">
      <c r="A195" s="296">
        <v>45744</v>
      </c>
      <c r="B195" s="215" t="s">
        <v>1569</v>
      </c>
      <c r="C195" s="215" t="s">
        <v>179</v>
      </c>
      <c r="D195" s="215" t="s">
        <v>180</v>
      </c>
      <c r="E195" s="222">
        <v>7000</v>
      </c>
      <c r="F195" s="283">
        <f t="shared" si="3"/>
        <v>12.076336246605688</v>
      </c>
      <c r="G195" s="222">
        <v>579.64599999999996</v>
      </c>
      <c r="H195" s="215" t="s">
        <v>181</v>
      </c>
      <c r="I195" s="215" t="s">
        <v>1306</v>
      </c>
      <c r="J195" s="215" t="s">
        <v>100</v>
      </c>
      <c r="K195" s="215" t="s">
        <v>211</v>
      </c>
      <c r="L195" s="215" t="s">
        <v>159</v>
      </c>
      <c r="M195" s="77"/>
      <c r="N195" s="77"/>
      <c r="O195" s="77"/>
    </row>
    <row r="196" spans="1:15">
      <c r="A196" s="296">
        <v>45744</v>
      </c>
      <c r="B196" s="215" t="s">
        <v>1565</v>
      </c>
      <c r="C196" s="215" t="s">
        <v>526</v>
      </c>
      <c r="D196" s="215" t="s">
        <v>124</v>
      </c>
      <c r="E196" s="222">
        <v>30000</v>
      </c>
      <c r="F196" s="283">
        <f t="shared" si="3"/>
        <v>51.755726771167232</v>
      </c>
      <c r="G196" s="222">
        <v>579.64599999999996</v>
      </c>
      <c r="H196" s="215" t="s">
        <v>340</v>
      </c>
      <c r="I196" s="215" t="s">
        <v>1325</v>
      </c>
      <c r="J196" s="215" t="s">
        <v>100</v>
      </c>
      <c r="K196" s="215" t="s">
        <v>211</v>
      </c>
      <c r="L196" s="215" t="s">
        <v>159</v>
      </c>
      <c r="M196" s="77"/>
      <c r="N196" s="77"/>
      <c r="O196" s="77"/>
    </row>
    <row r="197" spans="1:15">
      <c r="A197" s="296">
        <v>45744</v>
      </c>
      <c r="B197" s="215" t="s">
        <v>1560</v>
      </c>
      <c r="C197" s="215" t="s">
        <v>179</v>
      </c>
      <c r="D197" s="215" t="s">
        <v>124</v>
      </c>
      <c r="E197" s="222">
        <v>7000</v>
      </c>
      <c r="F197" s="283">
        <f t="shared" si="3"/>
        <v>12.076336246605688</v>
      </c>
      <c r="G197" s="222">
        <v>579.64599999999996</v>
      </c>
      <c r="H197" s="215" t="s">
        <v>340</v>
      </c>
      <c r="I197" s="215" t="s">
        <v>1326</v>
      </c>
      <c r="J197" s="215" t="s">
        <v>100</v>
      </c>
      <c r="K197" s="215" t="s">
        <v>211</v>
      </c>
      <c r="L197" s="215" t="s">
        <v>159</v>
      </c>
      <c r="M197" s="77"/>
      <c r="N197" s="77"/>
      <c r="O197" s="77"/>
    </row>
    <row r="198" spans="1:15" s="277" customFormat="1">
      <c r="A198" s="404">
        <v>45744</v>
      </c>
      <c r="B198" s="239" t="s">
        <v>1370</v>
      </c>
      <c r="C198" s="239" t="s">
        <v>334</v>
      </c>
      <c r="D198" s="239" t="s">
        <v>524</v>
      </c>
      <c r="E198" s="405">
        <v>41500</v>
      </c>
      <c r="F198" s="406">
        <f t="shared" si="3"/>
        <v>71.595422033448003</v>
      </c>
      <c r="G198" s="405">
        <v>579.64599999999996</v>
      </c>
      <c r="H198" s="239" t="s">
        <v>195</v>
      </c>
      <c r="I198" s="239" t="s">
        <v>1371</v>
      </c>
      <c r="J198" s="239" t="s">
        <v>100</v>
      </c>
      <c r="K198" s="239" t="s">
        <v>211</v>
      </c>
      <c r="L198" s="239" t="s">
        <v>159</v>
      </c>
      <c r="M198" s="218"/>
      <c r="N198" s="218"/>
      <c r="O198" s="218"/>
    </row>
    <row r="199" spans="1:15" s="277" customFormat="1">
      <c r="A199" s="404">
        <v>45744</v>
      </c>
      <c r="B199" s="239" t="s">
        <v>1402</v>
      </c>
      <c r="C199" s="239" t="s">
        <v>179</v>
      </c>
      <c r="D199" s="239" t="s">
        <v>120</v>
      </c>
      <c r="E199" s="405">
        <v>35500</v>
      </c>
      <c r="F199" s="406">
        <f t="shared" si="3"/>
        <v>61.244276679214558</v>
      </c>
      <c r="G199" s="405">
        <v>579.64599999999996</v>
      </c>
      <c r="H199" s="239" t="s">
        <v>198</v>
      </c>
      <c r="I199" s="239" t="s">
        <v>1403</v>
      </c>
      <c r="J199" s="239" t="s">
        <v>100</v>
      </c>
      <c r="K199" s="239" t="s">
        <v>211</v>
      </c>
      <c r="L199" s="239" t="s">
        <v>159</v>
      </c>
      <c r="M199" s="218"/>
      <c r="N199" s="218"/>
      <c r="O199" s="218"/>
    </row>
    <row r="200" spans="1:15">
      <c r="A200" s="296">
        <v>45744</v>
      </c>
      <c r="B200" s="215" t="s">
        <v>992</v>
      </c>
      <c r="C200" s="215" t="s">
        <v>1539</v>
      </c>
      <c r="D200" s="215" t="s">
        <v>121</v>
      </c>
      <c r="E200" s="222">
        <v>8825</v>
      </c>
      <c r="F200" s="283">
        <f t="shared" si="3"/>
        <v>15.224809625185028</v>
      </c>
      <c r="G200" s="222">
        <v>579.64599999999996</v>
      </c>
      <c r="H200" s="215" t="s">
        <v>198</v>
      </c>
      <c r="I200" s="215" t="s">
        <v>1121</v>
      </c>
      <c r="J200" s="215" t="s">
        <v>100</v>
      </c>
      <c r="K200" s="215" t="s">
        <v>211</v>
      </c>
      <c r="L200" s="215" t="s">
        <v>159</v>
      </c>
      <c r="M200" s="77"/>
      <c r="N200" s="77"/>
      <c r="O200" s="77"/>
    </row>
    <row r="201" spans="1:15">
      <c r="A201" s="296">
        <v>45744</v>
      </c>
      <c r="B201" s="215" t="s">
        <v>1431</v>
      </c>
      <c r="C201" s="215" t="s">
        <v>334</v>
      </c>
      <c r="D201" s="215" t="s">
        <v>120</v>
      </c>
      <c r="E201" s="222">
        <v>4000</v>
      </c>
      <c r="F201" s="283">
        <f t="shared" si="3"/>
        <v>6.9007635694889649</v>
      </c>
      <c r="G201" s="222">
        <v>579.64599999999996</v>
      </c>
      <c r="H201" s="215" t="s">
        <v>505</v>
      </c>
      <c r="I201" s="215" t="s">
        <v>1432</v>
      </c>
      <c r="J201" s="215" t="s">
        <v>100</v>
      </c>
      <c r="K201" s="215" t="s">
        <v>211</v>
      </c>
      <c r="L201" s="215" t="s">
        <v>159</v>
      </c>
      <c r="M201" s="77"/>
      <c r="N201" s="77"/>
      <c r="O201" s="77"/>
    </row>
    <row r="202" spans="1:15">
      <c r="A202" s="296">
        <v>45744</v>
      </c>
      <c r="B202" s="215" t="s">
        <v>1530</v>
      </c>
      <c r="C202" s="215" t="s">
        <v>179</v>
      </c>
      <c r="D202" s="215" t="s">
        <v>123</v>
      </c>
      <c r="E202" s="222">
        <v>43650</v>
      </c>
      <c r="F202" s="283">
        <f t="shared" si="3"/>
        <v>75.304582452048322</v>
      </c>
      <c r="G202" s="222">
        <v>579.64599999999996</v>
      </c>
      <c r="H202" s="215" t="s">
        <v>223</v>
      </c>
      <c r="I202" s="215" t="s">
        <v>1452</v>
      </c>
      <c r="J202" s="215" t="s">
        <v>100</v>
      </c>
      <c r="K202" s="215" t="s">
        <v>211</v>
      </c>
      <c r="L202" s="215" t="s">
        <v>159</v>
      </c>
      <c r="M202" s="77"/>
      <c r="N202" s="77"/>
      <c r="O202" s="77"/>
    </row>
    <row r="203" spans="1:15">
      <c r="A203" s="296">
        <v>45744</v>
      </c>
      <c r="B203" s="215" t="s">
        <v>990</v>
      </c>
      <c r="C203" s="215" t="s">
        <v>337</v>
      </c>
      <c r="D203" s="215" t="s">
        <v>123</v>
      </c>
      <c r="E203" s="222">
        <v>154000</v>
      </c>
      <c r="F203" s="283">
        <f t="shared" si="3"/>
        <v>265.67939742532513</v>
      </c>
      <c r="G203" s="222">
        <v>579.64599999999996</v>
      </c>
      <c r="H203" s="215" t="s">
        <v>223</v>
      </c>
      <c r="I203" s="215" t="s">
        <v>1139</v>
      </c>
      <c r="J203" s="215" t="s">
        <v>100</v>
      </c>
      <c r="K203" s="215" t="s">
        <v>211</v>
      </c>
      <c r="L203" s="215" t="s">
        <v>159</v>
      </c>
      <c r="M203" s="77"/>
      <c r="N203" s="77"/>
      <c r="O203" s="77"/>
    </row>
    <row r="204" spans="1:15">
      <c r="A204" s="296">
        <v>45744</v>
      </c>
      <c r="B204" s="215" t="s">
        <v>1180</v>
      </c>
      <c r="C204" s="215" t="s">
        <v>130</v>
      </c>
      <c r="D204" s="215" t="s">
        <v>124</v>
      </c>
      <c r="E204" s="222">
        <v>500000</v>
      </c>
      <c r="F204" s="283">
        <f t="shared" si="3"/>
        <v>862.59544618612051</v>
      </c>
      <c r="G204" s="222">
        <v>579.64599999999996</v>
      </c>
      <c r="H204" s="215" t="s">
        <v>151</v>
      </c>
      <c r="I204" s="215" t="s">
        <v>1484</v>
      </c>
      <c r="J204" s="215" t="s">
        <v>100</v>
      </c>
      <c r="K204" s="215" t="s">
        <v>211</v>
      </c>
      <c r="L204" s="215" t="s">
        <v>159</v>
      </c>
      <c r="M204" s="77"/>
      <c r="N204" s="77"/>
      <c r="O204" s="77"/>
    </row>
    <row r="205" spans="1:15">
      <c r="A205" s="296">
        <v>45744</v>
      </c>
      <c r="B205" s="215" t="s">
        <v>1181</v>
      </c>
      <c r="C205" s="215" t="s">
        <v>130</v>
      </c>
      <c r="D205" s="215" t="s">
        <v>124</v>
      </c>
      <c r="E205" s="222">
        <v>375000</v>
      </c>
      <c r="F205" s="283">
        <f t="shared" si="3"/>
        <v>646.94658463959047</v>
      </c>
      <c r="G205" s="222">
        <v>579.64599999999996</v>
      </c>
      <c r="H205" s="215" t="s">
        <v>151</v>
      </c>
      <c r="I205" s="215" t="s">
        <v>1485</v>
      </c>
      <c r="J205" s="215" t="s">
        <v>100</v>
      </c>
      <c r="K205" s="215" t="s">
        <v>211</v>
      </c>
      <c r="L205" s="215" t="s">
        <v>159</v>
      </c>
      <c r="M205" s="77"/>
      <c r="N205" s="77"/>
      <c r="O205" s="77"/>
    </row>
    <row r="206" spans="1:15" s="277" customFormat="1">
      <c r="A206" s="404">
        <v>45745</v>
      </c>
      <c r="B206" s="239" t="s">
        <v>1474</v>
      </c>
      <c r="C206" s="239" t="s">
        <v>278</v>
      </c>
      <c r="D206" s="239" t="s">
        <v>525</v>
      </c>
      <c r="E206" s="405">
        <v>120000</v>
      </c>
      <c r="F206" s="406">
        <f t="shared" si="3"/>
        <v>207.02290708466893</v>
      </c>
      <c r="G206" s="405">
        <v>579.64599999999996</v>
      </c>
      <c r="H206" s="239" t="s">
        <v>209</v>
      </c>
      <c r="I206" s="239" t="s">
        <v>1504</v>
      </c>
      <c r="J206" s="239" t="s">
        <v>100</v>
      </c>
      <c r="K206" s="239" t="s">
        <v>211</v>
      </c>
      <c r="L206" s="239" t="s">
        <v>159</v>
      </c>
      <c r="M206" s="239"/>
      <c r="N206" s="239"/>
      <c r="O206" s="218"/>
    </row>
    <row r="207" spans="1:15">
      <c r="A207" s="296">
        <v>45745</v>
      </c>
      <c r="B207" s="215" t="s">
        <v>1475</v>
      </c>
      <c r="C207" s="215" t="s">
        <v>526</v>
      </c>
      <c r="D207" s="215" t="s">
        <v>525</v>
      </c>
      <c r="E207" s="222">
        <v>60000</v>
      </c>
      <c r="F207" s="283">
        <f t="shared" si="3"/>
        <v>103.51145354233446</v>
      </c>
      <c r="G207" s="222">
        <v>579.64599999999996</v>
      </c>
      <c r="H207" s="215" t="s">
        <v>209</v>
      </c>
      <c r="I207" s="215" t="s">
        <v>1505</v>
      </c>
      <c r="J207" s="215" t="s">
        <v>100</v>
      </c>
      <c r="K207" s="215" t="s">
        <v>211</v>
      </c>
      <c r="L207" s="215" t="s">
        <v>159</v>
      </c>
      <c r="M207" s="215"/>
      <c r="N207" s="215"/>
      <c r="O207" s="77"/>
    </row>
    <row r="208" spans="1:15">
      <c r="A208" s="296">
        <v>45745</v>
      </c>
      <c r="B208" s="215" t="s">
        <v>1476</v>
      </c>
      <c r="C208" s="215" t="s">
        <v>179</v>
      </c>
      <c r="D208" s="215" t="s">
        <v>525</v>
      </c>
      <c r="E208" s="222">
        <v>46875</v>
      </c>
      <c r="F208" s="283">
        <f t="shared" si="3"/>
        <v>80.868323079948809</v>
      </c>
      <c r="G208" s="222">
        <v>579.64599999999996</v>
      </c>
      <c r="H208" s="215" t="s">
        <v>209</v>
      </c>
      <c r="I208" s="215" t="s">
        <v>1506</v>
      </c>
      <c r="J208" s="215" t="s">
        <v>100</v>
      </c>
      <c r="K208" s="215" t="s">
        <v>211</v>
      </c>
      <c r="L208" s="215" t="s">
        <v>159</v>
      </c>
      <c r="M208" s="215"/>
      <c r="N208" s="215"/>
      <c r="O208" s="77"/>
    </row>
    <row r="209" spans="1:15">
      <c r="A209" s="296">
        <v>45745</v>
      </c>
      <c r="B209" s="215" t="s">
        <v>1477</v>
      </c>
      <c r="C209" s="215" t="s">
        <v>179</v>
      </c>
      <c r="D209" s="215" t="s">
        <v>525</v>
      </c>
      <c r="E209" s="222">
        <v>46875</v>
      </c>
      <c r="F209" s="283">
        <f t="shared" si="3"/>
        <v>80.868323079948809</v>
      </c>
      <c r="G209" s="222">
        <v>579.64599999999996</v>
      </c>
      <c r="H209" s="215" t="s">
        <v>209</v>
      </c>
      <c r="I209" s="215" t="s">
        <v>1507</v>
      </c>
      <c r="J209" s="215" t="s">
        <v>100</v>
      </c>
      <c r="K209" s="215" t="s">
        <v>211</v>
      </c>
      <c r="L209" s="215" t="s">
        <v>159</v>
      </c>
      <c r="M209" s="215"/>
      <c r="N209" s="215"/>
      <c r="O209" s="77"/>
    </row>
    <row r="210" spans="1:15">
      <c r="A210" s="296">
        <v>45745</v>
      </c>
      <c r="B210" s="215" t="s">
        <v>1478</v>
      </c>
      <c r="C210" s="215" t="s">
        <v>179</v>
      </c>
      <c r="D210" s="215" t="s">
        <v>524</v>
      </c>
      <c r="E210" s="222">
        <v>40000</v>
      </c>
      <c r="F210" s="283">
        <f t="shared" si="3"/>
        <v>69.007635694889643</v>
      </c>
      <c r="G210" s="222">
        <v>579.64599999999996</v>
      </c>
      <c r="H210" s="215" t="s">
        <v>209</v>
      </c>
      <c r="I210" s="215" t="s">
        <v>1508</v>
      </c>
      <c r="J210" s="215" t="s">
        <v>100</v>
      </c>
      <c r="K210" s="215" t="s">
        <v>211</v>
      </c>
      <c r="L210" s="215" t="s">
        <v>159</v>
      </c>
      <c r="M210" s="215"/>
      <c r="N210" s="215"/>
      <c r="O210" s="215"/>
    </row>
    <row r="211" spans="1:15">
      <c r="A211" s="296">
        <v>45745</v>
      </c>
      <c r="B211" s="215" t="s">
        <v>1307</v>
      </c>
      <c r="C211" s="215" t="s">
        <v>179</v>
      </c>
      <c r="D211" s="215" t="s">
        <v>180</v>
      </c>
      <c r="E211" s="222">
        <v>83200</v>
      </c>
      <c r="F211" s="283">
        <f t="shared" si="3"/>
        <v>143.53588224537046</v>
      </c>
      <c r="G211" s="222">
        <v>579.64599999999996</v>
      </c>
      <c r="H211" s="215" t="s">
        <v>181</v>
      </c>
      <c r="I211" s="215" t="s">
        <v>1308</v>
      </c>
      <c r="J211" s="215" t="s">
        <v>100</v>
      </c>
      <c r="K211" s="215" t="s">
        <v>211</v>
      </c>
      <c r="L211" s="215" t="s">
        <v>159</v>
      </c>
      <c r="M211" s="77"/>
      <c r="N211" s="77"/>
      <c r="O211" s="77"/>
    </row>
    <row r="212" spans="1:15">
      <c r="A212" s="296">
        <v>45743</v>
      </c>
      <c r="B212" s="215" t="s">
        <v>1372</v>
      </c>
      <c r="C212" s="215" t="s">
        <v>526</v>
      </c>
      <c r="D212" s="215" t="s">
        <v>524</v>
      </c>
      <c r="E212" s="222">
        <v>150000</v>
      </c>
      <c r="F212" s="283">
        <f t="shared" si="3"/>
        <v>258.77863385583618</v>
      </c>
      <c r="G212" s="222">
        <v>579.64599999999996</v>
      </c>
      <c r="H212" s="215" t="s">
        <v>195</v>
      </c>
      <c r="I212" s="215" t="s">
        <v>1373</v>
      </c>
      <c r="J212" s="215" t="s">
        <v>100</v>
      </c>
      <c r="K212" s="215" t="s">
        <v>211</v>
      </c>
      <c r="L212" s="215" t="s">
        <v>159</v>
      </c>
      <c r="M212" s="77"/>
      <c r="N212" s="77"/>
      <c r="O212" s="77"/>
    </row>
    <row r="213" spans="1:15">
      <c r="A213" s="296">
        <v>45745</v>
      </c>
      <c r="B213" s="215" t="s">
        <v>1374</v>
      </c>
      <c r="C213" s="215" t="s">
        <v>526</v>
      </c>
      <c r="D213" s="215" t="s">
        <v>524</v>
      </c>
      <c r="E213" s="222">
        <v>30000</v>
      </c>
      <c r="F213" s="283">
        <f t="shared" si="3"/>
        <v>51.755726771167232</v>
      </c>
      <c r="G213" s="222">
        <v>579.64599999999996</v>
      </c>
      <c r="H213" s="215" t="s">
        <v>195</v>
      </c>
      <c r="I213" s="215" t="s">
        <v>1375</v>
      </c>
      <c r="J213" s="215" t="s">
        <v>100</v>
      </c>
      <c r="K213" s="215" t="s">
        <v>211</v>
      </c>
      <c r="L213" s="215" t="s">
        <v>159</v>
      </c>
      <c r="M213" s="77"/>
      <c r="N213" s="77"/>
      <c r="O213" s="77"/>
    </row>
    <row r="214" spans="1:15">
      <c r="A214" s="296">
        <v>45745</v>
      </c>
      <c r="B214" s="215" t="s">
        <v>1531</v>
      </c>
      <c r="C214" s="215" t="s">
        <v>179</v>
      </c>
      <c r="D214" s="215" t="s">
        <v>524</v>
      </c>
      <c r="E214" s="222">
        <v>6000</v>
      </c>
      <c r="F214" s="283">
        <f t="shared" si="3"/>
        <v>10.351145354233447</v>
      </c>
      <c r="G214" s="222">
        <v>579.64599999999996</v>
      </c>
      <c r="H214" s="215" t="s">
        <v>195</v>
      </c>
      <c r="I214" s="215" t="s">
        <v>1377</v>
      </c>
      <c r="J214" s="215" t="s">
        <v>100</v>
      </c>
      <c r="K214" s="215" t="s">
        <v>211</v>
      </c>
      <c r="L214" s="215" t="s">
        <v>159</v>
      </c>
      <c r="M214" s="77"/>
      <c r="N214" s="77"/>
      <c r="O214" s="77"/>
    </row>
    <row r="215" spans="1:15">
      <c r="A215" s="296">
        <v>45745</v>
      </c>
      <c r="B215" s="215" t="s">
        <v>1378</v>
      </c>
      <c r="C215" s="215" t="s">
        <v>179</v>
      </c>
      <c r="D215" s="215" t="s">
        <v>524</v>
      </c>
      <c r="E215" s="222">
        <v>7000</v>
      </c>
      <c r="F215" s="283">
        <f t="shared" si="3"/>
        <v>12.076336246605688</v>
      </c>
      <c r="G215" s="222">
        <v>579.64599999999996</v>
      </c>
      <c r="H215" s="215" t="s">
        <v>195</v>
      </c>
      <c r="I215" s="215" t="s">
        <v>1379</v>
      </c>
      <c r="J215" s="215" t="s">
        <v>100</v>
      </c>
      <c r="K215" s="215" t="s">
        <v>211</v>
      </c>
      <c r="L215" s="215" t="s">
        <v>159</v>
      </c>
      <c r="M215" s="77"/>
      <c r="N215" s="77"/>
      <c r="O215" s="77"/>
    </row>
    <row r="216" spans="1:15">
      <c r="A216" s="296">
        <v>45745</v>
      </c>
      <c r="B216" s="215" t="s">
        <v>1532</v>
      </c>
      <c r="C216" s="215" t="s">
        <v>179</v>
      </c>
      <c r="D216" s="215" t="s">
        <v>524</v>
      </c>
      <c r="E216" s="222">
        <v>49400</v>
      </c>
      <c r="F216" s="283">
        <f t="shared" si="3"/>
        <v>85.224430083188707</v>
      </c>
      <c r="G216" s="222">
        <v>579.64599999999996</v>
      </c>
      <c r="H216" s="215" t="s">
        <v>195</v>
      </c>
      <c r="I216" s="215" t="s">
        <v>1381</v>
      </c>
      <c r="J216" s="215" t="s">
        <v>100</v>
      </c>
      <c r="K216" s="215" t="s">
        <v>211</v>
      </c>
      <c r="L216" s="215" t="s">
        <v>159</v>
      </c>
      <c r="M216" s="77"/>
      <c r="N216" s="77"/>
      <c r="O216" s="77"/>
    </row>
    <row r="217" spans="1:15">
      <c r="A217" s="296">
        <v>45747</v>
      </c>
      <c r="B217" s="215" t="s">
        <v>1244</v>
      </c>
      <c r="C217" s="215" t="s">
        <v>179</v>
      </c>
      <c r="D217" s="215" t="s">
        <v>122</v>
      </c>
      <c r="E217" s="222">
        <v>61000</v>
      </c>
      <c r="F217" s="283">
        <f t="shared" si="3"/>
        <v>105.2366444347067</v>
      </c>
      <c r="G217" s="222">
        <v>579.64599999999996</v>
      </c>
      <c r="H217" s="215" t="s">
        <v>156</v>
      </c>
      <c r="I217" s="215" t="s">
        <v>1245</v>
      </c>
      <c r="J217" s="215" t="s">
        <v>100</v>
      </c>
      <c r="K217" s="215" t="s">
        <v>211</v>
      </c>
      <c r="L217" s="215" t="s">
        <v>159</v>
      </c>
      <c r="M217" s="215"/>
      <c r="N217" s="215"/>
      <c r="O217" s="77"/>
    </row>
    <row r="218" spans="1:15">
      <c r="A218" s="296">
        <v>45747</v>
      </c>
      <c r="B218" s="239" t="s">
        <v>1533</v>
      </c>
      <c r="C218" s="215" t="s">
        <v>179</v>
      </c>
      <c r="D218" s="215" t="s">
        <v>121</v>
      </c>
      <c r="E218" s="222">
        <v>35500</v>
      </c>
      <c r="F218" s="283">
        <f t="shared" si="3"/>
        <v>61.244276679214558</v>
      </c>
      <c r="G218" s="222">
        <v>579.64599999999996</v>
      </c>
      <c r="H218" s="215" t="s">
        <v>673</v>
      </c>
      <c r="I218" s="215" t="s">
        <v>1249</v>
      </c>
      <c r="J218" s="215" t="s">
        <v>100</v>
      </c>
      <c r="K218" s="215" t="s">
        <v>211</v>
      </c>
      <c r="L218" s="215" t="s">
        <v>159</v>
      </c>
      <c r="M218" s="77"/>
      <c r="N218" s="77"/>
      <c r="O218" s="77"/>
    </row>
    <row r="219" spans="1:15">
      <c r="A219" s="296">
        <v>45747</v>
      </c>
      <c r="B219" s="215" t="s">
        <v>995</v>
      </c>
      <c r="C219" s="215" t="s">
        <v>717</v>
      </c>
      <c r="D219" s="215" t="s">
        <v>121</v>
      </c>
      <c r="E219" s="222">
        <v>45050</v>
      </c>
      <c r="F219" s="283">
        <f t="shared" si="3"/>
        <v>77.719849701369469</v>
      </c>
      <c r="G219" s="222">
        <v>579.64599999999996</v>
      </c>
      <c r="H219" s="215" t="s">
        <v>673</v>
      </c>
      <c r="I219" s="215" t="s">
        <v>1123</v>
      </c>
      <c r="J219" s="215" t="s">
        <v>100</v>
      </c>
      <c r="K219" s="215" t="s">
        <v>211</v>
      </c>
      <c r="L219" s="215" t="s">
        <v>159</v>
      </c>
      <c r="M219" s="77"/>
      <c r="N219" s="77"/>
      <c r="O219" s="77"/>
    </row>
    <row r="220" spans="1:15">
      <c r="A220" s="296">
        <v>45747</v>
      </c>
      <c r="B220" s="215" t="s">
        <v>1327</v>
      </c>
      <c r="C220" s="215" t="s">
        <v>411</v>
      </c>
      <c r="D220" s="215" t="s">
        <v>124</v>
      </c>
      <c r="E220" s="222">
        <v>30100</v>
      </c>
      <c r="F220" s="283">
        <f t="shared" si="3"/>
        <v>51.928245860404459</v>
      </c>
      <c r="G220" s="222">
        <v>579.64599999999996</v>
      </c>
      <c r="H220" s="215" t="s">
        <v>340</v>
      </c>
      <c r="I220" s="215" t="s">
        <v>1328</v>
      </c>
      <c r="J220" s="215" t="s">
        <v>100</v>
      </c>
      <c r="K220" s="215" t="s">
        <v>211</v>
      </c>
      <c r="L220" s="215" t="s">
        <v>159</v>
      </c>
      <c r="M220" s="77"/>
      <c r="N220" s="77"/>
      <c r="O220" s="77"/>
    </row>
    <row r="221" spans="1:15">
      <c r="A221" s="296">
        <v>45747</v>
      </c>
      <c r="B221" s="215" t="s">
        <v>1329</v>
      </c>
      <c r="C221" s="215" t="s">
        <v>179</v>
      </c>
      <c r="D221" s="215" t="s">
        <v>124</v>
      </c>
      <c r="E221" s="222">
        <v>89800</v>
      </c>
      <c r="F221" s="283">
        <f t="shared" si="3"/>
        <v>154.92214213502726</v>
      </c>
      <c r="G221" s="222">
        <v>579.64599999999996</v>
      </c>
      <c r="H221" s="215" t="s">
        <v>340</v>
      </c>
      <c r="I221" s="215" t="s">
        <v>1330</v>
      </c>
      <c r="J221" s="215" t="s">
        <v>100</v>
      </c>
      <c r="K221" s="215" t="s">
        <v>211</v>
      </c>
      <c r="L221" s="215" t="s">
        <v>159</v>
      </c>
      <c r="M221" s="77"/>
      <c r="N221" s="77"/>
      <c r="O221" s="77"/>
    </row>
    <row r="222" spans="1:15">
      <c r="A222" s="296">
        <v>45747</v>
      </c>
      <c r="B222" s="215" t="s">
        <v>1348</v>
      </c>
      <c r="C222" s="215" t="s">
        <v>179</v>
      </c>
      <c r="D222" s="215" t="s">
        <v>124</v>
      </c>
      <c r="E222" s="222">
        <v>50500</v>
      </c>
      <c r="F222" s="283">
        <f t="shared" si="3"/>
        <v>87.122140064798174</v>
      </c>
      <c r="G222" s="222">
        <v>579.64599999999996</v>
      </c>
      <c r="H222" s="215" t="s">
        <v>351</v>
      </c>
      <c r="I222" s="215" t="s">
        <v>1349</v>
      </c>
      <c r="J222" s="215" t="s">
        <v>100</v>
      </c>
      <c r="K222" s="215" t="s">
        <v>211</v>
      </c>
      <c r="L222" s="215" t="s">
        <v>159</v>
      </c>
      <c r="M222" s="77"/>
      <c r="N222" s="77"/>
      <c r="O222" s="77"/>
    </row>
    <row r="223" spans="1:15">
      <c r="A223" s="296">
        <v>45747</v>
      </c>
      <c r="B223" s="215" t="s">
        <v>1534</v>
      </c>
      <c r="C223" s="215" t="s">
        <v>179</v>
      </c>
      <c r="D223" s="215" t="s">
        <v>120</v>
      </c>
      <c r="E223" s="222">
        <v>53000</v>
      </c>
      <c r="F223" s="283">
        <f t="shared" si="3"/>
        <v>91.435117295728773</v>
      </c>
      <c r="G223" s="222">
        <v>579.64599999999996</v>
      </c>
      <c r="H223" s="215" t="s">
        <v>201</v>
      </c>
      <c r="I223" s="215" t="s">
        <v>1415</v>
      </c>
      <c r="J223" s="215" t="s">
        <v>100</v>
      </c>
      <c r="K223" s="215" t="s">
        <v>211</v>
      </c>
      <c r="L223" s="215" t="s">
        <v>159</v>
      </c>
      <c r="M223" s="77"/>
      <c r="N223" s="77"/>
      <c r="O223" s="77"/>
    </row>
    <row r="224" spans="1:15">
      <c r="A224" s="296">
        <v>45747</v>
      </c>
      <c r="B224" s="215" t="s">
        <v>996</v>
      </c>
      <c r="C224" s="215" t="s">
        <v>1539</v>
      </c>
      <c r="D224" s="215" t="s">
        <v>121</v>
      </c>
      <c r="E224" s="222">
        <v>16890</v>
      </c>
      <c r="F224" s="283">
        <f t="shared" si="3"/>
        <v>29.138474172167154</v>
      </c>
      <c r="G224" s="222">
        <v>579.64599999999996</v>
      </c>
      <c r="H224" s="215" t="s">
        <v>201</v>
      </c>
      <c r="I224" s="215" t="s">
        <v>1124</v>
      </c>
      <c r="J224" s="215" t="s">
        <v>100</v>
      </c>
      <c r="K224" s="215" t="s">
        <v>211</v>
      </c>
      <c r="L224" s="215" t="s">
        <v>159</v>
      </c>
      <c r="M224" s="77"/>
      <c r="N224" s="77"/>
      <c r="O224" s="77"/>
    </row>
    <row r="225" spans="1:15">
      <c r="A225" s="296">
        <v>45747</v>
      </c>
      <c r="B225" s="215" t="s">
        <v>1434</v>
      </c>
      <c r="C225" s="215" t="s">
        <v>204</v>
      </c>
      <c r="D225" s="215" t="s">
        <v>120</v>
      </c>
      <c r="E225" s="222">
        <v>33000</v>
      </c>
      <c r="F225" s="283">
        <f t="shared" si="3"/>
        <v>56.931299448283958</v>
      </c>
      <c r="G225" s="222">
        <v>579.64599999999996</v>
      </c>
      <c r="H225" s="215" t="s">
        <v>505</v>
      </c>
      <c r="I225" s="215" t="s">
        <v>1435</v>
      </c>
      <c r="J225" s="215" t="s">
        <v>100</v>
      </c>
      <c r="K225" s="215" t="s">
        <v>211</v>
      </c>
      <c r="L225" s="215" t="s">
        <v>159</v>
      </c>
      <c r="M225" s="77"/>
      <c r="N225" s="77"/>
      <c r="O225" s="77"/>
    </row>
    <row r="226" spans="1:15">
      <c r="A226" s="296">
        <v>45747</v>
      </c>
      <c r="B226" s="215" t="s">
        <v>1182</v>
      </c>
      <c r="C226" s="215" t="s">
        <v>130</v>
      </c>
      <c r="D226" s="215" t="s">
        <v>124</v>
      </c>
      <c r="E226" s="222">
        <v>255000</v>
      </c>
      <c r="F226" s="283">
        <f t="shared" si="3"/>
        <v>439.92367755492148</v>
      </c>
      <c r="G226" s="222">
        <v>579.64599999999996</v>
      </c>
      <c r="H226" s="215" t="s">
        <v>151</v>
      </c>
      <c r="I226" s="215" t="s">
        <v>1486</v>
      </c>
      <c r="J226" s="215" t="s">
        <v>100</v>
      </c>
      <c r="K226" s="215" t="s">
        <v>211</v>
      </c>
      <c r="L226" s="215" t="s">
        <v>159</v>
      </c>
      <c r="M226" s="77"/>
      <c r="N226" s="77"/>
      <c r="O226" s="77"/>
    </row>
    <row r="227" spans="1:15">
      <c r="A227" s="296">
        <v>45747</v>
      </c>
      <c r="B227" s="215" t="s">
        <v>1183</v>
      </c>
      <c r="C227" s="215" t="s">
        <v>130</v>
      </c>
      <c r="D227" s="215" t="s">
        <v>124</v>
      </c>
      <c r="E227" s="222">
        <v>255000</v>
      </c>
      <c r="F227" s="283">
        <f t="shared" si="3"/>
        <v>439.92367755492148</v>
      </c>
      <c r="G227" s="222">
        <v>579.64599999999996</v>
      </c>
      <c r="H227" s="215" t="s">
        <v>151</v>
      </c>
      <c r="I227" s="215" t="s">
        <v>1487</v>
      </c>
      <c r="J227" s="215" t="s">
        <v>100</v>
      </c>
      <c r="K227" s="215" t="s">
        <v>211</v>
      </c>
      <c r="L227" s="215" t="s">
        <v>159</v>
      </c>
      <c r="M227" s="77"/>
      <c r="N227" s="77"/>
      <c r="O227" s="77"/>
    </row>
  </sheetData>
  <autoFilter ref="A1:O227" xr:uid="{00000000-0009-0000-0000-000001000000}">
    <sortState xmlns:xlrd2="http://schemas.microsoft.com/office/spreadsheetml/2017/richdata2" ref="A2:P229">
      <sortCondition ref="A1:A229"/>
    </sortState>
  </autoFilter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'C:\Users\merve\Desktop\Mars 2025\[Fichier comptable-Juriste Roderlin.xlsx]Feuil1'!#REF!</xm:f>
          </x14:formula1>
          <xm:sqref>C156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7"/>
  <sheetViews>
    <sheetView zoomScaleNormal="100" workbookViewId="0">
      <selection activeCell="E11" sqref="E11"/>
    </sheetView>
  </sheetViews>
  <sheetFormatPr baseColWidth="10" defaultColWidth="8.796875" defaultRowHeight="13.8"/>
  <cols>
    <col min="1" max="1" width="7.3984375" customWidth="1"/>
    <col min="2" max="2" width="19.59765625" bestFit="1" customWidth="1"/>
    <col min="3" max="3" width="22.09765625" customWidth="1"/>
    <col min="4" max="4" width="13.796875" customWidth="1"/>
    <col min="5" max="5" width="9.19921875" customWidth="1"/>
    <col min="6" max="6" width="13.19921875" customWidth="1"/>
    <col min="7" max="7" width="7.09765625" customWidth="1"/>
    <col min="8" max="8" width="8.09765625" customWidth="1"/>
    <col min="9" max="9" width="9.796875" customWidth="1"/>
    <col min="10" max="10" width="12.796875" customWidth="1"/>
    <col min="11" max="11" width="9.09765625" customWidth="1"/>
    <col min="12" max="12" width="9.796875" customWidth="1"/>
    <col min="13" max="13" width="17.19921875" customWidth="1"/>
    <col min="14" max="14" width="12.796875" customWidth="1"/>
    <col min="15" max="15" width="19.19921875" customWidth="1"/>
    <col min="16" max="16" width="11.796875" customWidth="1"/>
    <col min="17" max="59" width="5.796875" customWidth="1"/>
    <col min="60" max="84" width="6.796875" customWidth="1"/>
    <col min="85" max="85" width="7.796875" customWidth="1"/>
    <col min="86" max="86" width="5.3984375" customWidth="1"/>
    <col min="87" max="87" width="11.796875" bestFit="1" customWidth="1"/>
  </cols>
  <sheetData>
    <row r="2" spans="2:3">
      <c r="B2" s="305" t="s">
        <v>544</v>
      </c>
      <c r="C2" t="s">
        <v>547</v>
      </c>
    </row>
    <row r="3" spans="2:3">
      <c r="B3" s="241" t="s">
        <v>198</v>
      </c>
      <c r="C3">
        <v>516725</v>
      </c>
    </row>
    <row r="4" spans="2:3">
      <c r="B4" s="241" t="s">
        <v>151</v>
      </c>
      <c r="C4">
        <v>13441497</v>
      </c>
    </row>
    <row r="5" spans="2:3">
      <c r="B5" s="241" t="s">
        <v>209</v>
      </c>
      <c r="C5">
        <v>972550</v>
      </c>
    </row>
    <row r="6" spans="2:3">
      <c r="B6" s="241" t="s">
        <v>505</v>
      </c>
      <c r="C6">
        <v>309600</v>
      </c>
    </row>
    <row r="7" spans="2:3">
      <c r="B7" s="241" t="s">
        <v>156</v>
      </c>
      <c r="C7">
        <v>348642</v>
      </c>
    </row>
    <row r="8" spans="2:3">
      <c r="B8" s="241" t="s">
        <v>223</v>
      </c>
      <c r="C8">
        <v>800250</v>
      </c>
    </row>
    <row r="9" spans="2:3">
      <c r="B9" s="241" t="s">
        <v>351</v>
      </c>
      <c r="C9">
        <v>533640</v>
      </c>
    </row>
    <row r="10" spans="2:3">
      <c r="B10" s="241" t="s">
        <v>340</v>
      </c>
      <c r="C10">
        <v>511900</v>
      </c>
    </row>
    <row r="11" spans="2:3">
      <c r="B11" s="241" t="s">
        <v>161</v>
      </c>
      <c r="C11">
        <v>981758</v>
      </c>
    </row>
    <row r="12" spans="2:3">
      <c r="B12" s="241" t="s">
        <v>192</v>
      </c>
      <c r="C12">
        <v>815100</v>
      </c>
    </row>
    <row r="13" spans="2:3">
      <c r="B13" s="241" t="s">
        <v>673</v>
      </c>
      <c r="C13">
        <v>1049665</v>
      </c>
    </row>
    <row r="14" spans="2:3">
      <c r="B14" s="241" t="s">
        <v>201</v>
      </c>
      <c r="C14">
        <v>833806</v>
      </c>
    </row>
    <row r="15" spans="2:3">
      <c r="B15" s="241" t="s">
        <v>195</v>
      </c>
      <c r="C15">
        <v>636500</v>
      </c>
    </row>
    <row r="16" spans="2:3">
      <c r="B16" s="241" t="s">
        <v>181</v>
      </c>
      <c r="C16">
        <v>601200</v>
      </c>
    </row>
    <row r="17" spans="2:3">
      <c r="B17" s="241" t="s">
        <v>545</v>
      </c>
      <c r="C17">
        <v>22352833</v>
      </c>
    </row>
  </sheetData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16"/>
  <sheetViews>
    <sheetView topLeftCell="Q1" workbookViewId="0">
      <selection activeCell="W10" sqref="W10"/>
    </sheetView>
  </sheetViews>
  <sheetFormatPr baseColWidth="10" defaultColWidth="8.796875" defaultRowHeight="13.8"/>
  <cols>
    <col min="2" max="2" width="22.09765625" customWidth="1"/>
    <col min="3" max="3" width="22.296875" bestFit="1" customWidth="1"/>
    <col min="4" max="4" width="6.796875" customWidth="1"/>
    <col min="5" max="5" width="19.296875" bestFit="1" customWidth="1"/>
    <col min="6" max="6" width="10.8984375" bestFit="1" customWidth="1"/>
    <col min="7" max="7" width="7.796875" customWidth="1"/>
    <col min="8" max="8" width="7.09765625" bestFit="1" customWidth="1"/>
    <col min="9" max="9" width="18.796875" bestFit="1" customWidth="1"/>
    <col min="10" max="10" width="20.19921875" bestFit="1" customWidth="1"/>
    <col min="11" max="11" width="7.59765625" bestFit="1" customWidth="1"/>
    <col min="12" max="12" width="8.59765625" bestFit="1" customWidth="1"/>
    <col min="13" max="13" width="11.59765625" bestFit="1" customWidth="1"/>
    <col min="14" max="14" width="13.8984375" bestFit="1" customWidth="1"/>
    <col min="15" max="15" width="13.796875" bestFit="1" customWidth="1"/>
    <col min="16" max="16" width="9.296875" bestFit="1" customWidth="1"/>
    <col min="17" max="17" width="13.19921875" bestFit="1" customWidth="1"/>
    <col min="18" max="18" width="8.09765625" bestFit="1" customWidth="1"/>
    <col min="19" max="19" width="9.796875" bestFit="1" customWidth="1"/>
    <col min="20" max="20" width="12.69921875" bestFit="1" customWidth="1"/>
    <col min="21" max="21" width="9.09765625" bestFit="1" customWidth="1"/>
    <col min="22" max="22" width="9.69921875" bestFit="1" customWidth="1"/>
    <col min="23" max="23" width="16.19921875" bestFit="1" customWidth="1"/>
    <col min="24" max="24" width="17" bestFit="1" customWidth="1"/>
    <col min="25" max="25" width="12.3984375" bestFit="1" customWidth="1"/>
    <col min="26" max="26" width="11.796875" bestFit="1" customWidth="1"/>
  </cols>
  <sheetData>
    <row r="3" spans="2:26">
      <c r="B3" s="305" t="s">
        <v>547</v>
      </c>
      <c r="C3" s="305" t="s">
        <v>543</v>
      </c>
    </row>
    <row r="4" spans="2:26">
      <c r="B4" s="305" t="s">
        <v>544</v>
      </c>
      <c r="C4" t="s">
        <v>131</v>
      </c>
      <c r="D4" t="s">
        <v>278</v>
      </c>
      <c r="E4" t="s">
        <v>337</v>
      </c>
      <c r="F4" t="s">
        <v>939</v>
      </c>
      <c r="G4" t="s">
        <v>128</v>
      </c>
      <c r="H4" t="s">
        <v>717</v>
      </c>
      <c r="I4" t="s">
        <v>1290</v>
      </c>
      <c r="J4" t="s">
        <v>1345</v>
      </c>
      <c r="K4" t="s">
        <v>334</v>
      </c>
      <c r="L4" t="s">
        <v>309</v>
      </c>
      <c r="M4" t="s">
        <v>126</v>
      </c>
      <c r="N4" t="s">
        <v>1429</v>
      </c>
      <c r="O4" t="s">
        <v>176</v>
      </c>
      <c r="P4" t="s">
        <v>130</v>
      </c>
      <c r="Q4" t="s">
        <v>129</v>
      </c>
      <c r="R4" t="s">
        <v>324</v>
      </c>
      <c r="S4" t="s">
        <v>155</v>
      </c>
      <c r="T4" t="s">
        <v>189</v>
      </c>
      <c r="U4" t="s">
        <v>179</v>
      </c>
      <c r="V4" t="s">
        <v>204</v>
      </c>
      <c r="W4" t="s">
        <v>953</v>
      </c>
      <c r="X4" t="s">
        <v>526</v>
      </c>
      <c r="Y4" t="s">
        <v>414</v>
      </c>
      <c r="Z4" t="s">
        <v>545</v>
      </c>
    </row>
    <row r="5" spans="2:26">
      <c r="B5" s="241" t="s">
        <v>124</v>
      </c>
      <c r="I5">
        <v>10000</v>
      </c>
      <c r="J5">
        <v>10000</v>
      </c>
      <c r="P5">
        <v>2760000</v>
      </c>
      <c r="S5">
        <v>164000</v>
      </c>
      <c r="U5">
        <v>519500</v>
      </c>
      <c r="X5">
        <v>1405000</v>
      </c>
      <c r="Y5">
        <v>245200</v>
      </c>
      <c r="Z5">
        <v>5113700</v>
      </c>
    </row>
    <row r="6" spans="2:26">
      <c r="B6" s="241" t="s">
        <v>120</v>
      </c>
      <c r="F6">
        <v>65000</v>
      </c>
      <c r="K6">
        <v>4000</v>
      </c>
      <c r="L6">
        <v>14000</v>
      </c>
      <c r="M6">
        <v>1100000</v>
      </c>
      <c r="P6">
        <v>2616512</v>
      </c>
      <c r="S6">
        <v>139000</v>
      </c>
      <c r="U6">
        <v>233500</v>
      </c>
      <c r="V6">
        <v>43000</v>
      </c>
      <c r="W6">
        <v>550000</v>
      </c>
      <c r="X6">
        <v>554200</v>
      </c>
      <c r="Z6">
        <v>5319212</v>
      </c>
    </row>
    <row r="7" spans="2:26">
      <c r="B7" s="241" t="s">
        <v>524</v>
      </c>
      <c r="K7">
        <v>41500</v>
      </c>
      <c r="U7">
        <v>137400</v>
      </c>
      <c r="X7">
        <v>715000</v>
      </c>
      <c r="Z7">
        <v>893900</v>
      </c>
    </row>
    <row r="8" spans="2:26">
      <c r="B8" s="241" t="s">
        <v>122</v>
      </c>
      <c r="P8">
        <v>2796625</v>
      </c>
      <c r="S8">
        <v>67000</v>
      </c>
      <c r="U8">
        <v>61000</v>
      </c>
      <c r="Z8">
        <v>2924625</v>
      </c>
    </row>
    <row r="9" spans="2:26">
      <c r="B9" s="241" t="s">
        <v>123</v>
      </c>
      <c r="E9">
        <v>502000</v>
      </c>
      <c r="P9">
        <v>506280</v>
      </c>
      <c r="S9">
        <v>31000</v>
      </c>
      <c r="U9">
        <v>43650</v>
      </c>
      <c r="Z9">
        <v>1082930</v>
      </c>
    </row>
    <row r="10" spans="2:26">
      <c r="B10" s="241" t="s">
        <v>121</v>
      </c>
      <c r="C10">
        <v>105823</v>
      </c>
      <c r="H10">
        <v>45050</v>
      </c>
      <c r="O10">
        <v>595050</v>
      </c>
      <c r="P10">
        <v>1254340</v>
      </c>
      <c r="Q10">
        <v>572102</v>
      </c>
      <c r="R10">
        <v>383625</v>
      </c>
      <c r="T10">
        <v>125626</v>
      </c>
      <c r="U10">
        <v>45400</v>
      </c>
      <c r="Z10">
        <v>3127016</v>
      </c>
    </row>
    <row r="11" spans="2:26">
      <c r="B11" s="241" t="s">
        <v>208</v>
      </c>
      <c r="D11">
        <v>205000</v>
      </c>
      <c r="N11">
        <v>28400</v>
      </c>
      <c r="U11">
        <v>20000</v>
      </c>
      <c r="V11">
        <v>25000</v>
      </c>
      <c r="X11">
        <v>623100</v>
      </c>
      <c r="Z11">
        <v>901500</v>
      </c>
    </row>
    <row r="12" spans="2:26">
      <c r="B12" s="241" t="s">
        <v>525</v>
      </c>
      <c r="D12">
        <v>320000</v>
      </c>
      <c r="U12">
        <v>93750</v>
      </c>
      <c r="X12">
        <v>291800</v>
      </c>
      <c r="Z12">
        <v>705550</v>
      </c>
    </row>
    <row r="13" spans="2:26">
      <c r="B13" s="241" t="s">
        <v>1274</v>
      </c>
      <c r="P13">
        <v>65000</v>
      </c>
      <c r="Z13">
        <v>65000</v>
      </c>
    </row>
    <row r="14" spans="2:26">
      <c r="B14" s="241" t="s">
        <v>964</v>
      </c>
      <c r="P14">
        <v>112000</v>
      </c>
      <c r="Z14">
        <v>112000</v>
      </c>
    </row>
    <row r="15" spans="2:26">
      <c r="B15" s="241" t="s">
        <v>546</v>
      </c>
      <c r="G15">
        <v>2107400</v>
      </c>
      <c r="Z15">
        <v>2107400</v>
      </c>
    </row>
    <row r="16" spans="2:26">
      <c r="B16" s="241" t="s">
        <v>545</v>
      </c>
      <c r="C16">
        <v>105823</v>
      </c>
      <c r="D16">
        <v>525000</v>
      </c>
      <c r="E16">
        <v>502000</v>
      </c>
      <c r="F16">
        <v>65000</v>
      </c>
      <c r="G16">
        <v>2107400</v>
      </c>
      <c r="H16">
        <v>45050</v>
      </c>
      <c r="I16">
        <v>10000</v>
      </c>
      <c r="J16">
        <v>10000</v>
      </c>
      <c r="K16">
        <v>45500</v>
      </c>
      <c r="L16">
        <v>14000</v>
      </c>
      <c r="M16">
        <v>1100000</v>
      </c>
      <c r="N16">
        <v>28400</v>
      </c>
      <c r="O16">
        <v>595050</v>
      </c>
      <c r="P16">
        <v>10110757</v>
      </c>
      <c r="Q16">
        <v>572102</v>
      </c>
      <c r="R16">
        <v>383625</v>
      </c>
      <c r="S16">
        <v>401000</v>
      </c>
      <c r="T16">
        <v>125626</v>
      </c>
      <c r="U16">
        <v>1154200</v>
      </c>
      <c r="V16">
        <v>68000</v>
      </c>
      <c r="W16">
        <v>550000</v>
      </c>
      <c r="X16">
        <v>3589100</v>
      </c>
      <c r="Y16">
        <v>245200</v>
      </c>
      <c r="Z16">
        <v>22352833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18"/>
  <sheetViews>
    <sheetView workbookViewId="0">
      <selection activeCell="D10" sqref="D10"/>
    </sheetView>
  </sheetViews>
  <sheetFormatPr baseColWidth="10" defaultColWidth="11.3984375" defaultRowHeight="13.8"/>
  <cols>
    <col min="2" max="2" width="19.59765625" bestFit="1" customWidth="1"/>
    <col min="3" max="3" width="15.8984375" bestFit="1" customWidth="1"/>
    <col min="4" max="4" width="18.296875" customWidth="1"/>
  </cols>
  <sheetData>
    <row r="2" spans="2:4">
      <c r="B2" s="305" t="s">
        <v>544</v>
      </c>
      <c r="C2" t="s">
        <v>548</v>
      </c>
      <c r="D2" t="s">
        <v>550</v>
      </c>
    </row>
    <row r="3" spans="2:4">
      <c r="B3" s="241" t="s">
        <v>198</v>
      </c>
      <c r="C3">
        <v>402325</v>
      </c>
    </row>
    <row r="4" spans="2:4">
      <c r="B4" s="241" t="s">
        <v>151</v>
      </c>
      <c r="D4">
        <v>9500000</v>
      </c>
    </row>
    <row r="5" spans="2:4">
      <c r="B5" s="241" t="s">
        <v>506</v>
      </c>
      <c r="C5">
        <v>1384500</v>
      </c>
      <c r="D5">
        <v>300000</v>
      </c>
    </row>
    <row r="6" spans="2:4">
      <c r="B6" s="241" t="s">
        <v>967</v>
      </c>
      <c r="C6">
        <v>602000</v>
      </c>
    </row>
    <row r="7" spans="2:4">
      <c r="B7" s="241" t="s">
        <v>156</v>
      </c>
      <c r="C7">
        <v>463000</v>
      </c>
      <c r="D7">
        <v>130000</v>
      </c>
    </row>
    <row r="8" spans="2:4">
      <c r="B8" s="241" t="s">
        <v>223</v>
      </c>
      <c r="C8">
        <v>805000</v>
      </c>
    </row>
    <row r="9" spans="2:4">
      <c r="B9" s="241" t="s">
        <v>351</v>
      </c>
      <c r="C9">
        <v>581140</v>
      </c>
    </row>
    <row r="10" spans="2:4">
      <c r="B10" s="241" t="s">
        <v>340</v>
      </c>
      <c r="C10">
        <v>628000</v>
      </c>
    </row>
    <row r="11" spans="2:4">
      <c r="B11" s="241" t="s">
        <v>161</v>
      </c>
      <c r="C11">
        <v>981858</v>
      </c>
    </row>
    <row r="12" spans="2:4">
      <c r="B12" s="241" t="s">
        <v>192</v>
      </c>
      <c r="C12">
        <v>1042000</v>
      </c>
      <c r="D12">
        <v>235000</v>
      </c>
    </row>
    <row r="13" spans="2:4">
      <c r="B13" s="241" t="s">
        <v>673</v>
      </c>
      <c r="C13">
        <v>1034165</v>
      </c>
    </row>
    <row r="14" spans="2:4">
      <c r="B14" s="241" t="s">
        <v>201</v>
      </c>
      <c r="C14">
        <v>849806</v>
      </c>
    </row>
    <row r="15" spans="2:4">
      <c r="B15" s="241" t="s">
        <v>195</v>
      </c>
      <c r="C15">
        <v>480000</v>
      </c>
    </row>
    <row r="16" spans="2:4">
      <c r="B16" s="241" t="s">
        <v>181</v>
      </c>
      <c r="C16">
        <v>577000</v>
      </c>
      <c r="D16">
        <v>30000</v>
      </c>
    </row>
    <row r="17" spans="2:4">
      <c r="B17" s="241" t="s">
        <v>546</v>
      </c>
    </row>
    <row r="18" spans="2:4">
      <c r="B18" s="241" t="s">
        <v>545</v>
      </c>
      <c r="C18">
        <v>9830794</v>
      </c>
      <c r="D18">
        <v>10195000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J47"/>
  <sheetViews>
    <sheetView workbookViewId="0">
      <selection activeCell="L16" sqref="L16"/>
    </sheetView>
  </sheetViews>
  <sheetFormatPr baseColWidth="10" defaultColWidth="8.796875" defaultRowHeight="13.8"/>
  <cols>
    <col min="1" max="1" width="16.19921875" style="70" customWidth="1"/>
    <col min="2" max="2" width="53.09765625" customWidth="1"/>
    <col min="3" max="3" width="15.796875" customWidth="1"/>
    <col min="4" max="4" width="17.09765625" customWidth="1"/>
    <col min="5" max="7" width="17.09765625" style="72" customWidth="1"/>
    <col min="8" max="8" width="7.09765625" customWidth="1"/>
    <col min="9" max="9" width="17.09765625" customWidth="1"/>
    <col min="10" max="10" width="20.796875" customWidth="1"/>
  </cols>
  <sheetData>
    <row r="1" spans="1:10" ht="14.4">
      <c r="A1" s="74" t="s">
        <v>0</v>
      </c>
      <c r="B1" s="75" t="s">
        <v>1</v>
      </c>
      <c r="C1" s="75" t="s">
        <v>125</v>
      </c>
      <c r="D1" s="75" t="s">
        <v>3</v>
      </c>
      <c r="E1" s="87" t="s">
        <v>29</v>
      </c>
      <c r="F1" s="88" t="s">
        <v>12</v>
      </c>
      <c r="G1" s="88" t="s">
        <v>30</v>
      </c>
      <c r="H1" s="76" t="s">
        <v>10</v>
      </c>
      <c r="I1" s="76" t="s">
        <v>6</v>
      </c>
      <c r="J1" s="176" t="s">
        <v>74</v>
      </c>
    </row>
    <row r="2" spans="1:10" ht="14.4">
      <c r="A2" s="201">
        <v>45717</v>
      </c>
      <c r="B2" s="202" t="s">
        <v>1140</v>
      </c>
      <c r="C2" s="202"/>
      <c r="D2" s="202"/>
      <c r="E2" s="206"/>
      <c r="F2" s="204"/>
      <c r="G2" s="256">
        <v>5936479</v>
      </c>
      <c r="H2" s="77" t="s">
        <v>151</v>
      </c>
      <c r="I2" s="77"/>
      <c r="J2" s="77"/>
    </row>
    <row r="3" spans="1:10" ht="14.4">
      <c r="A3" s="201">
        <v>45719</v>
      </c>
      <c r="B3" s="198" t="s">
        <v>574</v>
      </c>
      <c r="C3" s="198" t="s">
        <v>129</v>
      </c>
      <c r="D3" s="210" t="s">
        <v>121</v>
      </c>
      <c r="E3" s="206">
        <v>500000</v>
      </c>
      <c r="F3" s="204"/>
      <c r="G3" s="172">
        <f t="shared" ref="G3:G47" si="0">+G2+F3-E3</f>
        <v>5436479</v>
      </c>
      <c r="H3" s="77" t="s">
        <v>151</v>
      </c>
      <c r="I3" s="77" t="s">
        <v>1194</v>
      </c>
      <c r="J3" s="77"/>
    </row>
    <row r="4" spans="1:10" ht="14.4">
      <c r="A4" s="201">
        <v>45719</v>
      </c>
      <c r="B4" s="203" t="s">
        <v>1141</v>
      </c>
      <c r="C4" s="198" t="s">
        <v>130</v>
      </c>
      <c r="D4" s="213" t="s">
        <v>120</v>
      </c>
      <c r="E4" s="207">
        <v>200000</v>
      </c>
      <c r="F4" s="204"/>
      <c r="G4" s="172">
        <f t="shared" si="0"/>
        <v>5236479</v>
      </c>
      <c r="H4" s="77" t="s">
        <v>151</v>
      </c>
      <c r="I4" s="77" t="s">
        <v>1195</v>
      </c>
      <c r="J4" s="77"/>
    </row>
    <row r="5" spans="1:10" ht="14.4">
      <c r="A5" s="201">
        <v>45719</v>
      </c>
      <c r="B5" s="203" t="s">
        <v>1142</v>
      </c>
      <c r="C5" s="212" t="s">
        <v>130</v>
      </c>
      <c r="D5" s="211" t="s">
        <v>120</v>
      </c>
      <c r="E5" s="207">
        <v>200000</v>
      </c>
      <c r="F5" s="204"/>
      <c r="G5" s="172">
        <f t="shared" si="0"/>
        <v>5036479</v>
      </c>
      <c r="H5" s="77" t="s">
        <v>151</v>
      </c>
      <c r="I5" s="77" t="s">
        <v>1196</v>
      </c>
      <c r="J5" s="77"/>
    </row>
    <row r="6" spans="1:10" ht="14.4">
      <c r="A6" s="201">
        <v>45719</v>
      </c>
      <c r="B6" s="203" t="s">
        <v>1143</v>
      </c>
      <c r="C6" s="198" t="s">
        <v>130</v>
      </c>
      <c r="D6" s="198" t="s">
        <v>120</v>
      </c>
      <c r="E6" s="206">
        <v>200000</v>
      </c>
      <c r="F6" s="204"/>
      <c r="G6" s="172">
        <f t="shared" si="0"/>
        <v>4836479</v>
      </c>
      <c r="H6" s="77" t="s">
        <v>151</v>
      </c>
      <c r="I6" s="77" t="s">
        <v>1197</v>
      </c>
      <c r="J6" s="77"/>
    </row>
    <row r="7" spans="1:10" ht="14.4">
      <c r="A7" s="201">
        <v>45719</v>
      </c>
      <c r="B7" s="203" t="s">
        <v>1144</v>
      </c>
      <c r="C7" s="210" t="s">
        <v>130</v>
      </c>
      <c r="D7" s="211" t="s">
        <v>120</v>
      </c>
      <c r="E7" s="206">
        <v>551482</v>
      </c>
      <c r="F7" s="204"/>
      <c r="G7" s="172">
        <f t="shared" si="0"/>
        <v>4284997</v>
      </c>
      <c r="H7" s="77" t="s">
        <v>151</v>
      </c>
      <c r="I7" s="77" t="s">
        <v>1198</v>
      </c>
      <c r="J7" s="77"/>
    </row>
    <row r="8" spans="1:10" ht="14.4">
      <c r="A8" s="201">
        <v>45719</v>
      </c>
      <c r="B8" s="203" t="s">
        <v>1145</v>
      </c>
      <c r="C8" s="198" t="s">
        <v>130</v>
      </c>
      <c r="D8" s="198" t="s">
        <v>121</v>
      </c>
      <c r="E8" s="206">
        <v>384789</v>
      </c>
      <c r="F8" s="204"/>
      <c r="G8" s="172">
        <f t="shared" si="0"/>
        <v>3900208</v>
      </c>
      <c r="H8" s="77" t="s">
        <v>151</v>
      </c>
      <c r="I8" s="77" t="s">
        <v>1199</v>
      </c>
      <c r="J8" s="77"/>
    </row>
    <row r="9" spans="1:10" ht="14.4">
      <c r="A9" s="260">
        <v>45719</v>
      </c>
      <c r="B9" s="272" t="s">
        <v>1146</v>
      </c>
      <c r="C9" s="264" t="s">
        <v>130</v>
      </c>
      <c r="D9" s="210" t="s">
        <v>123</v>
      </c>
      <c r="E9" s="263">
        <v>238140</v>
      </c>
      <c r="F9" s="263"/>
      <c r="G9" s="172">
        <f t="shared" si="0"/>
        <v>3662068</v>
      </c>
      <c r="H9" s="218" t="s">
        <v>151</v>
      </c>
      <c r="I9" s="77" t="s">
        <v>1200</v>
      </c>
      <c r="J9" s="77"/>
    </row>
    <row r="10" spans="1:10" ht="14.4">
      <c r="A10" s="201">
        <v>45719</v>
      </c>
      <c r="B10" s="203" t="s">
        <v>1147</v>
      </c>
      <c r="C10" s="198" t="s">
        <v>130</v>
      </c>
      <c r="D10" s="210" t="s">
        <v>124</v>
      </c>
      <c r="E10" s="206">
        <v>405000</v>
      </c>
      <c r="F10" s="206"/>
      <c r="G10" s="172">
        <f t="shared" si="0"/>
        <v>3257068</v>
      </c>
      <c r="H10" s="77" t="s">
        <v>151</v>
      </c>
      <c r="I10" s="77" t="s">
        <v>1201</v>
      </c>
      <c r="J10" s="77"/>
    </row>
    <row r="11" spans="1:10" ht="14.4">
      <c r="A11" s="201">
        <v>45719</v>
      </c>
      <c r="B11" s="203" t="s">
        <v>1148</v>
      </c>
      <c r="C11" s="198" t="s">
        <v>130</v>
      </c>
      <c r="D11" s="198" t="s">
        <v>124</v>
      </c>
      <c r="E11" s="206">
        <v>460000</v>
      </c>
      <c r="F11" s="204"/>
      <c r="G11" s="172">
        <f t="shared" si="0"/>
        <v>2797068</v>
      </c>
      <c r="H11" s="77" t="s">
        <v>151</v>
      </c>
      <c r="I11" s="77" t="s">
        <v>1202</v>
      </c>
      <c r="J11" s="77"/>
    </row>
    <row r="12" spans="1:10" ht="14.4">
      <c r="A12" s="201">
        <v>45719</v>
      </c>
      <c r="B12" s="203" t="s">
        <v>1149</v>
      </c>
      <c r="C12" s="198" t="s">
        <v>130</v>
      </c>
      <c r="D12" s="198" t="s">
        <v>124</v>
      </c>
      <c r="E12" s="206">
        <v>255000</v>
      </c>
      <c r="F12" s="204"/>
      <c r="G12" s="172">
        <f t="shared" si="0"/>
        <v>2542068</v>
      </c>
      <c r="H12" s="77" t="s">
        <v>151</v>
      </c>
      <c r="I12" s="77" t="s">
        <v>1203</v>
      </c>
      <c r="J12" s="77"/>
    </row>
    <row r="13" spans="1:10" ht="14.4">
      <c r="A13" s="201">
        <v>45719</v>
      </c>
      <c r="B13" s="203" t="s">
        <v>1150</v>
      </c>
      <c r="C13" s="198" t="s">
        <v>130</v>
      </c>
      <c r="D13" s="198" t="s">
        <v>124</v>
      </c>
      <c r="E13" s="206">
        <v>255000</v>
      </c>
      <c r="F13" s="204"/>
      <c r="G13" s="172">
        <f t="shared" si="0"/>
        <v>2287068</v>
      </c>
      <c r="H13" s="77" t="s">
        <v>151</v>
      </c>
      <c r="I13" s="77" t="s">
        <v>1204</v>
      </c>
      <c r="J13" s="77"/>
    </row>
    <row r="14" spans="1:10" ht="14.4">
      <c r="A14" s="201">
        <v>45719</v>
      </c>
      <c r="B14" s="198" t="s">
        <v>1151</v>
      </c>
      <c r="C14" s="198" t="s">
        <v>324</v>
      </c>
      <c r="D14" s="213" t="s">
        <v>121</v>
      </c>
      <c r="E14" s="206">
        <v>260000</v>
      </c>
      <c r="F14" s="204"/>
      <c r="G14" s="172">
        <f t="shared" si="0"/>
        <v>2027068</v>
      </c>
      <c r="H14" s="77" t="s">
        <v>151</v>
      </c>
      <c r="I14" s="77" t="s">
        <v>1205</v>
      </c>
      <c r="J14" s="77"/>
    </row>
    <row r="15" spans="1:10" s="277" customFormat="1" ht="14.4">
      <c r="A15" s="260">
        <v>45719</v>
      </c>
      <c r="B15" s="314" t="s">
        <v>1152</v>
      </c>
      <c r="C15" s="264" t="s">
        <v>131</v>
      </c>
      <c r="D15" s="315" t="s">
        <v>121</v>
      </c>
      <c r="E15" s="316">
        <v>10665</v>
      </c>
      <c r="F15" s="262"/>
      <c r="G15" s="268">
        <f t="shared" si="0"/>
        <v>2016403</v>
      </c>
      <c r="H15" s="218" t="s">
        <v>151</v>
      </c>
      <c r="I15" s="218" t="s">
        <v>1206</v>
      </c>
      <c r="J15" s="218"/>
    </row>
    <row r="16" spans="1:10" ht="14.4">
      <c r="A16" s="201">
        <v>45719</v>
      </c>
      <c r="B16" s="199" t="s">
        <v>1153</v>
      </c>
      <c r="C16" s="273" t="s">
        <v>126</v>
      </c>
      <c r="D16" s="273" t="s">
        <v>120</v>
      </c>
      <c r="E16" s="206">
        <v>300000</v>
      </c>
      <c r="F16" s="204"/>
      <c r="G16" s="172">
        <f t="shared" si="0"/>
        <v>1716403</v>
      </c>
      <c r="H16" s="77" t="s">
        <v>151</v>
      </c>
      <c r="I16" s="77" t="s">
        <v>1207</v>
      </c>
      <c r="J16" s="77"/>
    </row>
    <row r="17" spans="1:10" ht="14.4" hidden="1">
      <c r="A17" s="201">
        <v>45720</v>
      </c>
      <c r="B17" s="295" t="s">
        <v>1154</v>
      </c>
      <c r="C17" s="273" t="s">
        <v>127</v>
      </c>
      <c r="D17" s="273"/>
      <c r="E17" s="206">
        <v>1500000</v>
      </c>
      <c r="F17" s="204"/>
      <c r="G17" s="172">
        <f t="shared" si="0"/>
        <v>216403</v>
      </c>
      <c r="H17" s="77" t="s">
        <v>151</v>
      </c>
      <c r="I17" s="77" t="s">
        <v>1189</v>
      </c>
      <c r="J17" s="77"/>
    </row>
    <row r="18" spans="1:10" ht="14.4">
      <c r="A18" s="201">
        <v>45723</v>
      </c>
      <c r="B18" s="203" t="s">
        <v>1155</v>
      </c>
      <c r="C18" s="273" t="s">
        <v>128</v>
      </c>
      <c r="D18" s="273"/>
      <c r="E18" s="206"/>
      <c r="F18" s="204">
        <v>17389380</v>
      </c>
      <c r="G18" s="172">
        <f t="shared" si="0"/>
        <v>17605783</v>
      </c>
      <c r="H18" s="77" t="s">
        <v>151</v>
      </c>
      <c r="I18" s="77" t="s">
        <v>1191</v>
      </c>
      <c r="J18" s="77"/>
    </row>
    <row r="19" spans="1:10" ht="14.4">
      <c r="A19" s="201">
        <v>45723</v>
      </c>
      <c r="B19" s="203" t="s">
        <v>1156</v>
      </c>
      <c r="C19" s="273" t="s">
        <v>128</v>
      </c>
      <c r="D19" s="273"/>
      <c r="E19" s="206"/>
      <c r="F19" s="204">
        <v>2898230</v>
      </c>
      <c r="G19" s="172">
        <f t="shared" si="0"/>
        <v>20504013</v>
      </c>
      <c r="H19" s="77" t="s">
        <v>151</v>
      </c>
      <c r="I19" s="77" t="s">
        <v>1192</v>
      </c>
      <c r="J19" s="77"/>
    </row>
    <row r="20" spans="1:10" ht="14.4">
      <c r="A20" s="201">
        <v>45726</v>
      </c>
      <c r="B20" s="199" t="s">
        <v>1157</v>
      </c>
      <c r="C20" s="198" t="s">
        <v>126</v>
      </c>
      <c r="D20" s="198" t="s">
        <v>120</v>
      </c>
      <c r="E20" s="206">
        <v>150000</v>
      </c>
      <c r="F20" s="204"/>
      <c r="G20" s="172">
        <f t="shared" si="0"/>
        <v>20354013</v>
      </c>
      <c r="H20" s="77" t="s">
        <v>151</v>
      </c>
      <c r="I20" s="77" t="s">
        <v>1208</v>
      </c>
      <c r="J20" s="77"/>
    </row>
    <row r="21" spans="1:10" ht="14.4">
      <c r="A21" s="201">
        <v>45726</v>
      </c>
      <c r="B21" s="199" t="s">
        <v>1158</v>
      </c>
      <c r="C21" s="273" t="s">
        <v>126</v>
      </c>
      <c r="D21" s="273" t="s">
        <v>120</v>
      </c>
      <c r="E21" s="206">
        <v>150000</v>
      </c>
      <c r="F21" s="204"/>
      <c r="G21" s="172">
        <f t="shared" si="0"/>
        <v>20204013</v>
      </c>
      <c r="H21" s="77" t="s">
        <v>151</v>
      </c>
      <c r="I21" s="77" t="s">
        <v>1209</v>
      </c>
      <c r="J21" s="77"/>
    </row>
    <row r="22" spans="1:10" ht="14.4">
      <c r="A22" s="201">
        <v>45726</v>
      </c>
      <c r="B22" s="203" t="s">
        <v>1159</v>
      </c>
      <c r="C22" s="274" t="s">
        <v>130</v>
      </c>
      <c r="D22" s="211" t="s">
        <v>122</v>
      </c>
      <c r="E22" s="206">
        <v>1311000</v>
      </c>
      <c r="F22" s="204"/>
      <c r="G22" s="172">
        <f t="shared" si="0"/>
        <v>18893013</v>
      </c>
      <c r="H22" s="77" t="s">
        <v>151</v>
      </c>
      <c r="I22" s="77" t="s">
        <v>1210</v>
      </c>
      <c r="J22" s="77"/>
    </row>
    <row r="23" spans="1:10" ht="14.4" hidden="1">
      <c r="A23" s="201">
        <v>45726</v>
      </c>
      <c r="B23" s="203" t="s">
        <v>1160</v>
      </c>
      <c r="C23" s="273" t="s">
        <v>127</v>
      </c>
      <c r="D23" s="273"/>
      <c r="E23" s="206">
        <v>2000000</v>
      </c>
      <c r="F23" s="204"/>
      <c r="G23" s="172">
        <f t="shared" si="0"/>
        <v>16893013</v>
      </c>
      <c r="H23" s="77" t="s">
        <v>151</v>
      </c>
      <c r="I23" s="77" t="s">
        <v>1190</v>
      </c>
      <c r="J23" s="77"/>
    </row>
    <row r="24" spans="1:10" ht="14.4">
      <c r="A24" s="201">
        <v>45727</v>
      </c>
      <c r="B24" s="273" t="s">
        <v>1161</v>
      </c>
      <c r="C24" s="273" t="s">
        <v>128</v>
      </c>
      <c r="D24" s="198"/>
      <c r="E24" s="206">
        <v>2107400</v>
      </c>
      <c r="F24" s="204"/>
      <c r="G24" s="172">
        <f t="shared" si="0"/>
        <v>14785613</v>
      </c>
      <c r="H24" s="77" t="s">
        <v>151</v>
      </c>
      <c r="I24" s="77" t="s">
        <v>1193</v>
      </c>
      <c r="J24" s="77"/>
    </row>
    <row r="25" spans="1:10" s="277" customFormat="1" ht="14.4">
      <c r="A25" s="260">
        <v>45727</v>
      </c>
      <c r="B25" s="314" t="s">
        <v>1162</v>
      </c>
      <c r="C25" s="264" t="s">
        <v>131</v>
      </c>
      <c r="D25" s="315" t="s">
        <v>121</v>
      </c>
      <c r="E25" s="263">
        <v>24268</v>
      </c>
      <c r="F25" s="262"/>
      <c r="G25" s="268">
        <f t="shared" si="0"/>
        <v>14761345</v>
      </c>
      <c r="H25" s="218" t="s">
        <v>151</v>
      </c>
      <c r="I25" s="218" t="s">
        <v>1211</v>
      </c>
    </row>
    <row r="26" spans="1:10" ht="14.4">
      <c r="A26" s="201">
        <v>45727</v>
      </c>
      <c r="B26" s="273" t="s">
        <v>1163</v>
      </c>
      <c r="C26" s="273" t="s">
        <v>130</v>
      </c>
      <c r="D26" s="198" t="s">
        <v>121</v>
      </c>
      <c r="E26" s="206">
        <v>398693</v>
      </c>
      <c r="F26" s="204"/>
      <c r="G26" s="172">
        <f t="shared" si="0"/>
        <v>14362652</v>
      </c>
      <c r="H26" s="77" t="s">
        <v>151</v>
      </c>
      <c r="I26" s="77" t="s">
        <v>1212</v>
      </c>
    </row>
    <row r="27" spans="1:10" s="277" customFormat="1" ht="14.4">
      <c r="A27" s="260">
        <v>45727</v>
      </c>
      <c r="B27" s="314" t="s">
        <v>1164</v>
      </c>
      <c r="C27" s="264" t="s">
        <v>131</v>
      </c>
      <c r="D27" s="315" t="s">
        <v>121</v>
      </c>
      <c r="E27" s="263">
        <v>18255</v>
      </c>
      <c r="F27" s="262"/>
      <c r="G27" s="268">
        <f t="shared" si="0"/>
        <v>14344397</v>
      </c>
      <c r="H27" s="218" t="s">
        <v>151</v>
      </c>
      <c r="I27" s="218" t="s">
        <v>1213</v>
      </c>
    </row>
    <row r="28" spans="1:10" ht="14.4">
      <c r="A28" s="201">
        <v>45730</v>
      </c>
      <c r="B28" s="199" t="s">
        <v>1165</v>
      </c>
      <c r="C28" s="273" t="s">
        <v>126</v>
      </c>
      <c r="D28" s="198" t="s">
        <v>120</v>
      </c>
      <c r="E28" s="206">
        <v>300000</v>
      </c>
      <c r="F28" s="204"/>
      <c r="G28" s="172">
        <f t="shared" si="0"/>
        <v>14044397</v>
      </c>
      <c r="H28" s="77" t="s">
        <v>151</v>
      </c>
      <c r="I28" s="77" t="s">
        <v>1214</v>
      </c>
    </row>
    <row r="29" spans="1:10" ht="14.4">
      <c r="A29" s="201">
        <v>45730</v>
      </c>
      <c r="B29" s="199" t="s">
        <v>1166</v>
      </c>
      <c r="C29" s="273" t="s">
        <v>126</v>
      </c>
      <c r="D29" s="198" t="s">
        <v>120</v>
      </c>
      <c r="E29" s="206">
        <v>200000</v>
      </c>
      <c r="F29" s="204"/>
      <c r="G29" s="172">
        <f t="shared" si="0"/>
        <v>13844397</v>
      </c>
      <c r="H29" s="77" t="s">
        <v>151</v>
      </c>
      <c r="I29" s="77" t="s">
        <v>1215</v>
      </c>
    </row>
    <row r="30" spans="1:10" ht="14.4" hidden="1">
      <c r="A30" s="201">
        <v>45734</v>
      </c>
      <c r="B30" s="273" t="s">
        <v>1167</v>
      </c>
      <c r="C30" s="273" t="s">
        <v>127</v>
      </c>
      <c r="D30" s="198"/>
      <c r="E30" s="206">
        <v>2000000</v>
      </c>
      <c r="F30" s="204"/>
      <c r="G30" s="172">
        <f t="shared" si="0"/>
        <v>11844397</v>
      </c>
      <c r="H30" s="77" t="s">
        <v>151</v>
      </c>
      <c r="I30" s="77" t="s">
        <v>1223</v>
      </c>
    </row>
    <row r="31" spans="1:10" ht="14.4" hidden="1">
      <c r="A31" s="201">
        <v>45737</v>
      </c>
      <c r="B31" s="273" t="s">
        <v>1168</v>
      </c>
      <c r="C31" s="273" t="s">
        <v>127</v>
      </c>
      <c r="D31" s="198"/>
      <c r="E31" s="206">
        <v>2000000</v>
      </c>
      <c r="F31" s="204"/>
      <c r="G31" s="172">
        <f t="shared" si="0"/>
        <v>9844397</v>
      </c>
      <c r="H31" s="77" t="s">
        <v>151</v>
      </c>
      <c r="I31" s="77" t="s">
        <v>1224</v>
      </c>
    </row>
    <row r="32" spans="1:10" ht="14.4">
      <c r="A32" s="201">
        <v>45741</v>
      </c>
      <c r="B32" s="203" t="s">
        <v>1169</v>
      </c>
      <c r="C32" s="274" t="s">
        <v>130</v>
      </c>
      <c r="D32" s="211" t="s">
        <v>122</v>
      </c>
      <c r="E32" s="206">
        <v>1311000</v>
      </c>
      <c r="F32" s="204"/>
      <c r="G32" s="172">
        <f t="shared" si="0"/>
        <v>8533397</v>
      </c>
      <c r="H32" s="77" t="s">
        <v>151</v>
      </c>
      <c r="I32" s="77" t="s">
        <v>1216</v>
      </c>
    </row>
    <row r="33" spans="1:9" ht="14.4">
      <c r="A33" s="201">
        <v>45741</v>
      </c>
      <c r="B33" s="203" t="s">
        <v>1170</v>
      </c>
      <c r="C33" s="198" t="s">
        <v>130</v>
      </c>
      <c r="D33" s="198" t="s">
        <v>121</v>
      </c>
      <c r="E33" s="206">
        <v>230000</v>
      </c>
      <c r="F33" s="204"/>
      <c r="G33" s="172">
        <f t="shared" si="0"/>
        <v>8303397</v>
      </c>
      <c r="H33" s="77" t="s">
        <v>151</v>
      </c>
      <c r="I33" s="77" t="s">
        <v>1217</v>
      </c>
    </row>
    <row r="34" spans="1:9" ht="14.4">
      <c r="A34" s="201">
        <v>45741</v>
      </c>
      <c r="B34" s="203" t="s">
        <v>1171</v>
      </c>
      <c r="C34" s="198" t="s">
        <v>130</v>
      </c>
      <c r="D34" s="213" t="s">
        <v>120</v>
      </c>
      <c r="E34" s="206">
        <v>200000</v>
      </c>
      <c r="F34" s="204"/>
      <c r="G34" s="172">
        <f t="shared" si="0"/>
        <v>8103397</v>
      </c>
      <c r="H34" s="77" t="s">
        <v>151</v>
      </c>
      <c r="I34" s="77" t="s">
        <v>1218</v>
      </c>
    </row>
    <row r="35" spans="1:9" ht="14.4">
      <c r="A35" s="201">
        <v>45741</v>
      </c>
      <c r="B35" s="203" t="s">
        <v>1172</v>
      </c>
      <c r="C35" s="212" t="s">
        <v>130</v>
      </c>
      <c r="D35" s="211" t="s">
        <v>120</v>
      </c>
      <c r="E35" s="206">
        <v>200000</v>
      </c>
      <c r="F35" s="204"/>
      <c r="G35" s="172">
        <f t="shared" si="0"/>
        <v>7903397</v>
      </c>
      <c r="H35" s="77" t="s">
        <v>151</v>
      </c>
      <c r="I35" s="77" t="s">
        <v>1219</v>
      </c>
    </row>
    <row r="36" spans="1:9" ht="14.4">
      <c r="A36" s="201">
        <v>45741</v>
      </c>
      <c r="B36" s="203" t="s">
        <v>1173</v>
      </c>
      <c r="C36" s="198" t="s">
        <v>130</v>
      </c>
      <c r="D36" s="198" t="s">
        <v>120</v>
      </c>
      <c r="E36" s="206">
        <v>200000</v>
      </c>
      <c r="F36" s="204"/>
      <c r="G36" s="172">
        <f t="shared" si="0"/>
        <v>7703397</v>
      </c>
      <c r="H36" s="77" t="s">
        <v>151</v>
      </c>
      <c r="I36" s="77" t="s">
        <v>1220</v>
      </c>
    </row>
    <row r="37" spans="1:9" ht="14.4">
      <c r="A37" s="201">
        <v>45741</v>
      </c>
      <c r="B37" s="203" t="s">
        <v>1174</v>
      </c>
      <c r="C37" s="210" t="s">
        <v>130</v>
      </c>
      <c r="D37" s="211" t="s">
        <v>120</v>
      </c>
      <c r="E37" s="206">
        <v>551482</v>
      </c>
      <c r="F37" s="204"/>
      <c r="G37" s="172">
        <f t="shared" si="0"/>
        <v>7151915</v>
      </c>
      <c r="H37" s="77" t="s">
        <v>151</v>
      </c>
      <c r="I37" s="77" t="s">
        <v>1221</v>
      </c>
    </row>
    <row r="38" spans="1:9" ht="14.4">
      <c r="A38" s="201">
        <v>45741</v>
      </c>
      <c r="B38" s="272" t="s">
        <v>1175</v>
      </c>
      <c r="C38" s="264" t="s">
        <v>130</v>
      </c>
      <c r="D38" s="210" t="s">
        <v>123</v>
      </c>
      <c r="E38" s="206">
        <v>238140</v>
      </c>
      <c r="F38" s="204"/>
      <c r="G38" s="172">
        <f t="shared" si="0"/>
        <v>6913775</v>
      </c>
      <c r="H38" s="77" t="s">
        <v>151</v>
      </c>
      <c r="I38" s="77" t="s">
        <v>1222</v>
      </c>
    </row>
    <row r="39" spans="1:9" ht="14.4">
      <c r="A39" s="201">
        <v>45741</v>
      </c>
      <c r="B39" s="272" t="s">
        <v>1176</v>
      </c>
      <c r="C39" s="264" t="s">
        <v>130</v>
      </c>
      <c r="D39" s="210" t="s">
        <v>120</v>
      </c>
      <c r="E39" s="206">
        <v>193548</v>
      </c>
      <c r="F39" s="204"/>
      <c r="G39" s="172">
        <f t="shared" si="0"/>
        <v>6720227</v>
      </c>
      <c r="H39" s="77" t="s">
        <v>151</v>
      </c>
      <c r="I39" s="77" t="s">
        <v>1481</v>
      </c>
    </row>
    <row r="40" spans="1:9" ht="14.4">
      <c r="A40" s="201">
        <v>45741</v>
      </c>
      <c r="B40" s="264" t="s">
        <v>1177</v>
      </c>
      <c r="C40" s="273" t="s">
        <v>129</v>
      </c>
      <c r="D40" s="210" t="s">
        <v>121</v>
      </c>
      <c r="E40" s="206">
        <v>500000</v>
      </c>
      <c r="F40" s="204"/>
      <c r="G40" s="172">
        <f t="shared" si="0"/>
        <v>6220227</v>
      </c>
      <c r="H40" s="77" t="s">
        <v>151</v>
      </c>
      <c r="I40" s="77" t="s">
        <v>1482</v>
      </c>
    </row>
    <row r="41" spans="1:9" s="277" customFormat="1" ht="14.4">
      <c r="A41" s="260">
        <v>45742</v>
      </c>
      <c r="B41" s="275" t="s">
        <v>1178</v>
      </c>
      <c r="C41" s="275" t="s">
        <v>131</v>
      </c>
      <c r="D41" s="210" t="s">
        <v>121</v>
      </c>
      <c r="E41" s="263">
        <v>52635</v>
      </c>
      <c r="F41" s="262"/>
      <c r="G41" s="268">
        <f t="shared" si="0"/>
        <v>6167592</v>
      </c>
      <c r="H41" s="218" t="s">
        <v>151</v>
      </c>
      <c r="I41" s="218" t="s">
        <v>1483</v>
      </c>
    </row>
    <row r="42" spans="1:9" ht="14.4" hidden="1">
      <c r="A42" s="201">
        <v>45744</v>
      </c>
      <c r="B42" s="273" t="s">
        <v>1179</v>
      </c>
      <c r="C42" s="273" t="s">
        <v>127</v>
      </c>
      <c r="D42" s="198"/>
      <c r="E42" s="206">
        <v>2000000</v>
      </c>
      <c r="F42" s="204"/>
      <c r="G42" s="172">
        <f t="shared" si="0"/>
        <v>4167592</v>
      </c>
      <c r="H42" s="77" t="s">
        <v>151</v>
      </c>
      <c r="I42" s="77" t="s">
        <v>1225</v>
      </c>
    </row>
    <row r="43" spans="1:9" ht="14.4">
      <c r="A43" s="201">
        <v>45744</v>
      </c>
      <c r="B43" s="203" t="s">
        <v>1180</v>
      </c>
      <c r="C43" s="198" t="s">
        <v>130</v>
      </c>
      <c r="D43" s="198" t="s">
        <v>124</v>
      </c>
      <c r="E43" s="206">
        <v>500000</v>
      </c>
      <c r="F43" s="204"/>
      <c r="G43" s="172">
        <f t="shared" si="0"/>
        <v>3667592</v>
      </c>
      <c r="H43" s="77" t="s">
        <v>151</v>
      </c>
      <c r="I43" s="77" t="s">
        <v>1484</v>
      </c>
    </row>
    <row r="44" spans="1:9" ht="14.4">
      <c r="A44" s="201">
        <v>45744</v>
      </c>
      <c r="B44" s="203" t="s">
        <v>1181</v>
      </c>
      <c r="C44" s="198" t="s">
        <v>130</v>
      </c>
      <c r="D44" s="198" t="s">
        <v>124</v>
      </c>
      <c r="E44" s="206">
        <v>375000</v>
      </c>
      <c r="F44" s="204"/>
      <c r="G44" s="172">
        <f t="shared" si="0"/>
        <v>3292592</v>
      </c>
      <c r="H44" s="77" t="s">
        <v>151</v>
      </c>
      <c r="I44" s="77" t="s">
        <v>1485</v>
      </c>
    </row>
    <row r="45" spans="1:9" ht="14.4">
      <c r="A45" s="201">
        <v>45747</v>
      </c>
      <c r="B45" s="203" t="s">
        <v>1182</v>
      </c>
      <c r="C45" s="212" t="s">
        <v>130</v>
      </c>
      <c r="D45" s="211" t="s">
        <v>124</v>
      </c>
      <c r="E45" s="206">
        <v>255000</v>
      </c>
      <c r="F45" s="204"/>
      <c r="G45" s="172">
        <f t="shared" si="0"/>
        <v>3037592</v>
      </c>
      <c r="H45" s="77" t="s">
        <v>151</v>
      </c>
      <c r="I45" s="77" t="s">
        <v>1486</v>
      </c>
    </row>
    <row r="46" spans="1:9" ht="14.4">
      <c r="A46" s="201">
        <v>45747</v>
      </c>
      <c r="B46" s="203" t="s">
        <v>1183</v>
      </c>
      <c r="C46" s="212" t="s">
        <v>130</v>
      </c>
      <c r="D46" s="211" t="s">
        <v>124</v>
      </c>
      <c r="E46" s="206">
        <v>255000</v>
      </c>
      <c r="F46" s="204"/>
      <c r="G46" s="172">
        <f t="shared" si="0"/>
        <v>2782592</v>
      </c>
      <c r="H46" s="77" t="s">
        <v>151</v>
      </c>
      <c r="I46" s="77" t="s">
        <v>1487</v>
      </c>
    </row>
    <row r="47" spans="1:9" ht="14.4">
      <c r="A47" s="201">
        <v>45747</v>
      </c>
      <c r="B47" s="198" t="s">
        <v>1184</v>
      </c>
      <c r="C47" s="198" t="s">
        <v>129</v>
      </c>
      <c r="D47" s="210" t="s">
        <v>121</v>
      </c>
      <c r="E47" s="206">
        <v>260000</v>
      </c>
      <c r="F47" s="204"/>
      <c r="G47" s="172">
        <f t="shared" si="0"/>
        <v>2522592</v>
      </c>
      <c r="H47" s="77" t="s">
        <v>151</v>
      </c>
      <c r="I47" s="77" t="s">
        <v>1488</v>
      </c>
    </row>
  </sheetData>
  <autoFilter ref="A1:I47" xr:uid="{00000000-0009-0000-0000-000005000000}">
    <filterColumn colId="2">
      <filters blank="1">
        <filter val="Bank fees"/>
        <filter val="Grant"/>
        <filter val="Lawyer Fees"/>
        <filter val="Personnel"/>
        <filter val="Rent &amp; Utilities"/>
        <filter val="Services"/>
      </filters>
    </filterColumn>
    <sortState xmlns:xlrd2="http://schemas.microsoft.com/office/spreadsheetml/2017/richdata2" ref="A2:I25">
      <sortCondition ref="A1:A25"/>
    </sortState>
  </autoFilter>
  <pageMargins left="0.7" right="0.7" top="0.78740157499999996" bottom="0.78740157499999996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5"/>
  <sheetViews>
    <sheetView topLeftCell="A55" zoomScale="90" zoomScaleNormal="90" workbookViewId="0">
      <selection activeCell="AF18" sqref="AF18"/>
    </sheetView>
  </sheetViews>
  <sheetFormatPr baseColWidth="10" defaultColWidth="8.796875" defaultRowHeight="13.8"/>
  <cols>
    <col min="1" max="1" width="16.19921875" customWidth="1"/>
    <col min="2" max="2" width="77.09765625" customWidth="1"/>
    <col min="3" max="4" width="17.09765625" customWidth="1"/>
    <col min="5" max="7" width="17.09765625" style="72" customWidth="1"/>
    <col min="8" max="9" width="17.09765625" customWidth="1"/>
    <col min="10" max="10" width="23.3984375" customWidth="1"/>
  </cols>
  <sheetData>
    <row r="1" spans="1:10" ht="14.4">
      <c r="A1" s="67" t="s">
        <v>0</v>
      </c>
      <c r="B1" s="68" t="s">
        <v>1</v>
      </c>
      <c r="C1" s="68" t="s">
        <v>549</v>
      </c>
      <c r="D1" s="68" t="s">
        <v>3</v>
      </c>
      <c r="E1" s="89" t="s">
        <v>29</v>
      </c>
      <c r="F1" s="90" t="s">
        <v>12</v>
      </c>
      <c r="G1" s="90" t="s">
        <v>30</v>
      </c>
      <c r="H1" s="69" t="s">
        <v>10</v>
      </c>
      <c r="I1" s="69" t="s">
        <v>6</v>
      </c>
      <c r="J1" s="175" t="s">
        <v>74</v>
      </c>
    </row>
    <row r="2" spans="1:10">
      <c r="A2" s="219">
        <v>45717</v>
      </c>
      <c r="B2" s="220" t="s">
        <v>930</v>
      </c>
      <c r="C2" s="220"/>
      <c r="D2" s="220"/>
      <c r="E2" s="307"/>
      <c r="F2" s="301"/>
      <c r="G2" s="301">
        <v>862177</v>
      </c>
      <c r="H2" s="220"/>
      <c r="I2" s="220"/>
    </row>
    <row r="3" spans="1:10">
      <c r="A3" s="267">
        <v>45719</v>
      </c>
      <c r="B3" s="77" t="s">
        <v>931</v>
      </c>
      <c r="C3" s="218" t="s">
        <v>155</v>
      </c>
      <c r="D3" s="218" t="s">
        <v>122</v>
      </c>
      <c r="E3" s="306">
        <v>47000</v>
      </c>
      <c r="F3" s="308"/>
      <c r="G3" s="309">
        <f>+G2+F3-E3</f>
        <v>815177</v>
      </c>
      <c r="H3" s="168" t="s">
        <v>161</v>
      </c>
      <c r="I3" s="220" t="s">
        <v>1070</v>
      </c>
    </row>
    <row r="4" spans="1:10">
      <c r="A4" s="267">
        <v>45719</v>
      </c>
      <c r="B4" s="77" t="s">
        <v>932</v>
      </c>
      <c r="C4" s="218" t="s">
        <v>155</v>
      </c>
      <c r="D4" s="218" t="s">
        <v>120</v>
      </c>
      <c r="E4" s="306">
        <v>74000</v>
      </c>
      <c r="F4" s="308"/>
      <c r="G4" s="309">
        <f t="shared" ref="G4:G67" si="0">+G3+F4-E4</f>
        <v>741177</v>
      </c>
      <c r="H4" s="168" t="s">
        <v>161</v>
      </c>
      <c r="I4" s="220" t="s">
        <v>1071</v>
      </c>
    </row>
    <row r="5" spans="1:10">
      <c r="A5" s="267">
        <v>45719</v>
      </c>
      <c r="B5" s="77" t="s">
        <v>933</v>
      </c>
      <c r="C5" s="218" t="s">
        <v>155</v>
      </c>
      <c r="D5" s="218" t="s">
        <v>124</v>
      </c>
      <c r="E5" s="306">
        <v>88000</v>
      </c>
      <c r="F5" s="308"/>
      <c r="G5" s="309">
        <f t="shared" si="0"/>
        <v>653177</v>
      </c>
      <c r="H5" s="168" t="s">
        <v>161</v>
      </c>
      <c r="I5" s="220" t="s">
        <v>1072</v>
      </c>
    </row>
    <row r="6" spans="1:10">
      <c r="A6" s="267">
        <v>45719</v>
      </c>
      <c r="B6" s="77" t="s">
        <v>934</v>
      </c>
      <c r="C6" s="218" t="s">
        <v>155</v>
      </c>
      <c r="D6" s="218" t="s">
        <v>123</v>
      </c>
      <c r="E6" s="306">
        <v>10000</v>
      </c>
      <c r="F6" s="308"/>
      <c r="G6" s="309">
        <f t="shared" si="0"/>
        <v>643177</v>
      </c>
      <c r="H6" s="168" t="s">
        <v>161</v>
      </c>
      <c r="I6" s="220" t="s">
        <v>1073</v>
      </c>
    </row>
    <row r="7" spans="1:10">
      <c r="A7" s="267">
        <v>45719</v>
      </c>
      <c r="B7" s="77" t="s">
        <v>935</v>
      </c>
      <c r="C7" s="218" t="s">
        <v>155</v>
      </c>
      <c r="D7" s="218" t="s">
        <v>120</v>
      </c>
      <c r="E7" s="306">
        <v>10000</v>
      </c>
      <c r="F7" s="308"/>
      <c r="G7" s="309">
        <f t="shared" si="0"/>
        <v>633177</v>
      </c>
      <c r="H7" s="168" t="s">
        <v>161</v>
      </c>
      <c r="I7" s="220" t="s">
        <v>1074</v>
      </c>
    </row>
    <row r="8" spans="1:10">
      <c r="A8" s="267">
        <v>45719</v>
      </c>
      <c r="B8" s="77" t="s">
        <v>936</v>
      </c>
      <c r="C8" s="218" t="s">
        <v>155</v>
      </c>
      <c r="D8" s="218" t="s">
        <v>124</v>
      </c>
      <c r="E8" s="306">
        <v>16000</v>
      </c>
      <c r="F8" s="308"/>
      <c r="G8" s="309">
        <f t="shared" si="0"/>
        <v>617177</v>
      </c>
      <c r="H8" s="168" t="s">
        <v>161</v>
      </c>
      <c r="I8" s="220" t="s">
        <v>1075</v>
      </c>
    </row>
    <row r="9" spans="1:10">
      <c r="A9" s="267">
        <v>45719</v>
      </c>
      <c r="B9" s="77" t="s">
        <v>937</v>
      </c>
      <c r="C9" s="218" t="s">
        <v>155</v>
      </c>
      <c r="D9" s="218" t="s">
        <v>123</v>
      </c>
      <c r="E9" s="306">
        <v>11000</v>
      </c>
      <c r="F9" s="308"/>
      <c r="G9" s="309">
        <f t="shared" si="0"/>
        <v>606177</v>
      </c>
      <c r="H9" s="168" t="s">
        <v>161</v>
      </c>
      <c r="I9" s="220" t="s">
        <v>1076</v>
      </c>
    </row>
    <row r="10" spans="1:10">
      <c r="A10" s="267">
        <v>45719</v>
      </c>
      <c r="B10" s="77" t="s">
        <v>161</v>
      </c>
      <c r="C10" s="77" t="s">
        <v>127</v>
      </c>
      <c r="D10" s="77"/>
      <c r="E10" s="306">
        <v>10000</v>
      </c>
      <c r="F10" s="308"/>
      <c r="G10" s="309">
        <f t="shared" si="0"/>
        <v>596177</v>
      </c>
      <c r="H10" s="168" t="s">
        <v>161</v>
      </c>
      <c r="I10" s="220" t="s">
        <v>997</v>
      </c>
    </row>
    <row r="11" spans="1:10">
      <c r="A11" s="267">
        <v>45719</v>
      </c>
      <c r="B11" s="77" t="s">
        <v>938</v>
      </c>
      <c r="C11" s="77" t="s">
        <v>939</v>
      </c>
      <c r="D11" s="77" t="s">
        <v>120</v>
      </c>
      <c r="E11" s="306">
        <v>65000</v>
      </c>
      <c r="F11" s="308"/>
      <c r="G11" s="309">
        <f t="shared" si="0"/>
        <v>531177</v>
      </c>
      <c r="H11" s="77" t="s">
        <v>161</v>
      </c>
      <c r="I11" s="220" t="s">
        <v>1077</v>
      </c>
    </row>
    <row r="12" spans="1:10">
      <c r="A12" s="267">
        <v>45719</v>
      </c>
      <c r="B12" s="77" t="s">
        <v>940</v>
      </c>
      <c r="C12" s="218" t="s">
        <v>176</v>
      </c>
      <c r="D12" s="77" t="s">
        <v>121</v>
      </c>
      <c r="E12" s="306">
        <v>25000</v>
      </c>
      <c r="F12" s="308"/>
      <c r="G12" s="309">
        <f t="shared" si="0"/>
        <v>506177</v>
      </c>
      <c r="H12" s="77" t="s">
        <v>673</v>
      </c>
      <c r="I12" s="220" t="s">
        <v>1078</v>
      </c>
    </row>
    <row r="13" spans="1:10">
      <c r="A13" s="267">
        <v>45719</v>
      </c>
      <c r="B13" s="77" t="s">
        <v>941</v>
      </c>
      <c r="C13" s="77" t="s">
        <v>176</v>
      </c>
      <c r="D13" s="77" t="s">
        <v>121</v>
      </c>
      <c r="E13" s="306">
        <v>62500</v>
      </c>
      <c r="F13" s="308"/>
      <c r="G13" s="309">
        <f t="shared" si="0"/>
        <v>443677</v>
      </c>
      <c r="H13" s="77" t="s">
        <v>198</v>
      </c>
      <c r="I13" s="220" t="s">
        <v>1079</v>
      </c>
    </row>
    <row r="14" spans="1:10" ht="14.4">
      <c r="A14" s="267">
        <v>45719</v>
      </c>
      <c r="B14" s="77" t="s">
        <v>942</v>
      </c>
      <c r="C14" s="77" t="s">
        <v>127</v>
      </c>
      <c r="D14" s="77"/>
      <c r="E14" s="312"/>
      <c r="F14" s="308">
        <v>35000</v>
      </c>
      <c r="G14" s="309">
        <f t="shared" si="0"/>
        <v>478677</v>
      </c>
      <c r="H14" s="77" t="s">
        <v>192</v>
      </c>
      <c r="I14" s="220" t="s">
        <v>998</v>
      </c>
    </row>
    <row r="15" spans="1:10">
      <c r="A15" s="267">
        <v>45719</v>
      </c>
      <c r="B15" s="77" t="s">
        <v>943</v>
      </c>
      <c r="C15" s="77" t="s">
        <v>278</v>
      </c>
      <c r="D15" s="77" t="s">
        <v>208</v>
      </c>
      <c r="E15" s="308">
        <v>45000</v>
      </c>
      <c r="F15" s="308"/>
      <c r="G15" s="309">
        <f t="shared" si="0"/>
        <v>433677</v>
      </c>
      <c r="H15" s="77" t="s">
        <v>161</v>
      </c>
      <c r="I15" s="218" t="s">
        <v>1125</v>
      </c>
    </row>
    <row r="16" spans="1:10">
      <c r="A16" s="267">
        <v>45719</v>
      </c>
      <c r="B16" s="77" t="s">
        <v>1509</v>
      </c>
      <c r="C16" s="77" t="s">
        <v>130</v>
      </c>
      <c r="D16" s="77" t="s">
        <v>123</v>
      </c>
      <c r="E16" s="308">
        <v>30000</v>
      </c>
      <c r="F16" s="308"/>
      <c r="G16" s="309">
        <f t="shared" si="0"/>
        <v>403677</v>
      </c>
      <c r="H16" s="77" t="s">
        <v>161</v>
      </c>
      <c r="I16" s="218" t="s">
        <v>1126</v>
      </c>
    </row>
    <row r="17" spans="1:9">
      <c r="A17" s="267">
        <v>45719</v>
      </c>
      <c r="B17" s="218" t="s">
        <v>1510</v>
      </c>
      <c r="C17" s="77" t="s">
        <v>130</v>
      </c>
      <c r="D17" s="77" t="s">
        <v>121</v>
      </c>
      <c r="E17" s="308">
        <v>94430</v>
      </c>
      <c r="F17" s="308"/>
      <c r="G17" s="309">
        <f t="shared" si="0"/>
        <v>309247</v>
      </c>
      <c r="H17" s="218" t="s">
        <v>161</v>
      </c>
      <c r="I17" s="218" t="s">
        <v>1127</v>
      </c>
    </row>
    <row r="18" spans="1:9">
      <c r="A18" s="267">
        <v>45719</v>
      </c>
      <c r="B18" s="77" t="s">
        <v>944</v>
      </c>
      <c r="C18" s="77" t="s">
        <v>278</v>
      </c>
      <c r="D18" s="77" t="s">
        <v>208</v>
      </c>
      <c r="E18" s="306">
        <v>20000</v>
      </c>
      <c r="F18" s="308"/>
      <c r="G18" s="309">
        <f t="shared" si="0"/>
        <v>289247</v>
      </c>
      <c r="H18" s="218" t="s">
        <v>161</v>
      </c>
      <c r="I18" s="218" t="s">
        <v>1128</v>
      </c>
    </row>
    <row r="19" spans="1:9">
      <c r="A19" s="267">
        <v>45719</v>
      </c>
      <c r="B19" s="77" t="s">
        <v>1511</v>
      </c>
      <c r="C19" s="218" t="s">
        <v>130</v>
      </c>
      <c r="D19" s="218" t="s">
        <v>121</v>
      </c>
      <c r="E19" s="306">
        <v>15000</v>
      </c>
      <c r="F19" s="308"/>
      <c r="G19" s="309">
        <f t="shared" si="0"/>
        <v>274247</v>
      </c>
      <c r="H19" s="218" t="s">
        <v>673</v>
      </c>
      <c r="I19" s="218" t="s">
        <v>1129</v>
      </c>
    </row>
    <row r="20" spans="1:9">
      <c r="A20" s="267">
        <v>45719</v>
      </c>
      <c r="B20" s="218" t="s">
        <v>181</v>
      </c>
      <c r="C20" s="218" t="s">
        <v>127</v>
      </c>
      <c r="D20" s="218"/>
      <c r="E20" s="306">
        <v>65000</v>
      </c>
      <c r="F20" s="308"/>
      <c r="G20" s="309">
        <f t="shared" si="0"/>
        <v>209247</v>
      </c>
      <c r="H20" s="218" t="s">
        <v>181</v>
      </c>
      <c r="I20" s="220" t="s">
        <v>999</v>
      </c>
    </row>
    <row r="21" spans="1:9">
      <c r="A21" s="267">
        <v>45719</v>
      </c>
      <c r="B21" s="77" t="s">
        <v>946</v>
      </c>
      <c r="C21" s="269" t="s">
        <v>278</v>
      </c>
      <c r="D21" s="269" t="s">
        <v>208</v>
      </c>
      <c r="E21" s="306">
        <v>45000</v>
      </c>
      <c r="F21" s="308"/>
      <c r="G21" s="309">
        <f t="shared" si="0"/>
        <v>164247</v>
      </c>
      <c r="H21" s="77" t="s">
        <v>161</v>
      </c>
      <c r="I21" s="218" t="s">
        <v>1130</v>
      </c>
    </row>
    <row r="22" spans="1:9">
      <c r="A22" s="267">
        <v>45719</v>
      </c>
      <c r="B22" s="77" t="s">
        <v>1512</v>
      </c>
      <c r="C22" s="77" t="s">
        <v>130</v>
      </c>
      <c r="D22" s="77" t="s">
        <v>120</v>
      </c>
      <c r="E22" s="306">
        <v>30000</v>
      </c>
      <c r="F22" s="308"/>
      <c r="G22" s="309">
        <f t="shared" si="0"/>
        <v>134247</v>
      </c>
      <c r="H22" s="77" t="s">
        <v>161</v>
      </c>
      <c r="I22" s="218" t="s">
        <v>1131</v>
      </c>
    </row>
    <row r="23" spans="1:9">
      <c r="A23" s="267">
        <v>45719</v>
      </c>
      <c r="B23" s="77" t="s">
        <v>1513</v>
      </c>
      <c r="C23" s="77" t="s">
        <v>130</v>
      </c>
      <c r="D23" s="77" t="s">
        <v>120</v>
      </c>
      <c r="E23" s="306">
        <v>30000</v>
      </c>
      <c r="F23" s="308"/>
      <c r="G23" s="309">
        <f t="shared" si="0"/>
        <v>104247</v>
      </c>
      <c r="H23" s="77" t="s">
        <v>161</v>
      </c>
      <c r="I23" s="218" t="s">
        <v>1132</v>
      </c>
    </row>
    <row r="24" spans="1:9">
      <c r="A24" s="267">
        <v>45720</v>
      </c>
      <c r="B24" s="77" t="s">
        <v>947</v>
      </c>
      <c r="C24" s="77" t="s">
        <v>127</v>
      </c>
      <c r="D24" s="77"/>
      <c r="E24" s="306"/>
      <c r="F24" s="308">
        <v>1500000</v>
      </c>
      <c r="G24" s="309">
        <f t="shared" si="0"/>
        <v>1604247</v>
      </c>
      <c r="H24" s="77" t="s">
        <v>151</v>
      </c>
      <c r="I24" s="220" t="s">
        <v>1000</v>
      </c>
    </row>
    <row r="25" spans="1:9">
      <c r="A25" s="267">
        <v>45720</v>
      </c>
      <c r="B25" s="218" t="s">
        <v>948</v>
      </c>
      <c r="C25" s="268" t="s">
        <v>337</v>
      </c>
      <c r="D25" s="268" t="s">
        <v>123</v>
      </c>
      <c r="E25" s="306">
        <v>148000</v>
      </c>
      <c r="F25" s="308"/>
      <c r="G25" s="309">
        <f t="shared" si="0"/>
        <v>1456247</v>
      </c>
      <c r="H25" s="77" t="s">
        <v>223</v>
      </c>
      <c r="I25" s="218" t="s">
        <v>1133</v>
      </c>
    </row>
    <row r="26" spans="1:9">
      <c r="A26" s="267">
        <v>45720</v>
      </c>
      <c r="B26" s="77" t="s">
        <v>949</v>
      </c>
      <c r="C26" s="77" t="s">
        <v>130</v>
      </c>
      <c r="D26" s="77" t="s">
        <v>121</v>
      </c>
      <c r="E26" s="306">
        <v>131428</v>
      </c>
      <c r="F26" s="308"/>
      <c r="G26" s="309">
        <f t="shared" si="0"/>
        <v>1324819</v>
      </c>
      <c r="H26" s="77" t="s">
        <v>161</v>
      </c>
      <c r="I26" s="220" t="s">
        <v>1080</v>
      </c>
    </row>
    <row r="27" spans="1:9">
      <c r="A27" s="267">
        <v>45720</v>
      </c>
      <c r="B27" s="77" t="s">
        <v>156</v>
      </c>
      <c r="C27" s="77" t="s">
        <v>127</v>
      </c>
      <c r="D27" s="77"/>
      <c r="E27" s="306">
        <v>300000</v>
      </c>
      <c r="F27" s="308"/>
      <c r="G27" s="309">
        <f t="shared" si="0"/>
        <v>1024819</v>
      </c>
      <c r="H27" s="77" t="s">
        <v>156</v>
      </c>
      <c r="I27" s="220" t="s">
        <v>1001</v>
      </c>
    </row>
    <row r="28" spans="1:9">
      <c r="A28" s="267">
        <v>45720</v>
      </c>
      <c r="B28" s="218" t="s">
        <v>1514</v>
      </c>
      <c r="C28" s="77" t="s">
        <v>414</v>
      </c>
      <c r="D28" s="77" t="s">
        <v>124</v>
      </c>
      <c r="E28" s="306">
        <v>30000</v>
      </c>
      <c r="F28" s="306"/>
      <c r="G28" s="309">
        <f t="shared" si="0"/>
        <v>994819</v>
      </c>
      <c r="H28" s="77" t="s">
        <v>156</v>
      </c>
      <c r="I28" s="220" t="s">
        <v>1081</v>
      </c>
    </row>
    <row r="29" spans="1:9">
      <c r="A29" s="267">
        <v>45720</v>
      </c>
      <c r="B29" s="218" t="s">
        <v>950</v>
      </c>
      <c r="C29" s="77" t="s">
        <v>189</v>
      </c>
      <c r="D29" s="77" t="s">
        <v>121</v>
      </c>
      <c r="E29" s="306">
        <v>1952</v>
      </c>
      <c r="F29" s="308"/>
      <c r="G29" s="309">
        <f t="shared" si="0"/>
        <v>992867</v>
      </c>
      <c r="H29" s="77" t="s">
        <v>201</v>
      </c>
      <c r="I29" s="220" t="s">
        <v>1082</v>
      </c>
    </row>
    <row r="30" spans="1:9">
      <c r="A30" s="267">
        <v>45720</v>
      </c>
      <c r="B30" s="218" t="s">
        <v>951</v>
      </c>
      <c r="C30" s="77" t="s">
        <v>189</v>
      </c>
      <c r="D30" s="77" t="s">
        <v>121</v>
      </c>
      <c r="E30" s="306">
        <v>8700</v>
      </c>
      <c r="F30" s="306"/>
      <c r="G30" s="309">
        <f t="shared" si="0"/>
        <v>984167</v>
      </c>
      <c r="H30" s="77" t="s">
        <v>673</v>
      </c>
      <c r="I30" s="220" t="s">
        <v>1083</v>
      </c>
    </row>
    <row r="31" spans="1:9">
      <c r="A31" s="267">
        <v>45720</v>
      </c>
      <c r="B31" s="218" t="s">
        <v>506</v>
      </c>
      <c r="C31" s="77" t="s">
        <v>127</v>
      </c>
      <c r="D31" s="77"/>
      <c r="E31" s="306">
        <v>100000</v>
      </c>
      <c r="F31" s="306"/>
      <c r="G31" s="309">
        <f t="shared" si="0"/>
        <v>884167</v>
      </c>
      <c r="H31" s="77" t="s">
        <v>506</v>
      </c>
      <c r="I31" s="220" t="s">
        <v>1002</v>
      </c>
    </row>
    <row r="32" spans="1:9">
      <c r="A32" s="267">
        <v>45720</v>
      </c>
      <c r="B32" s="218" t="s">
        <v>195</v>
      </c>
      <c r="C32" s="77" t="s">
        <v>127</v>
      </c>
      <c r="D32" s="77"/>
      <c r="E32" s="306">
        <v>100000</v>
      </c>
      <c r="F32" s="308"/>
      <c r="G32" s="309">
        <f t="shared" si="0"/>
        <v>784167</v>
      </c>
      <c r="H32" s="77" t="s">
        <v>195</v>
      </c>
      <c r="I32" s="220" t="s">
        <v>1003</v>
      </c>
    </row>
    <row r="33" spans="1:9">
      <c r="A33" s="267">
        <v>45720</v>
      </c>
      <c r="B33" s="218" t="s">
        <v>952</v>
      </c>
      <c r="C33" s="77" t="s">
        <v>953</v>
      </c>
      <c r="D33" s="77" t="s">
        <v>120</v>
      </c>
      <c r="E33" s="306">
        <v>100000</v>
      </c>
      <c r="F33" s="308"/>
      <c r="G33" s="309">
        <f t="shared" si="0"/>
        <v>684167</v>
      </c>
      <c r="H33" s="77" t="s">
        <v>673</v>
      </c>
      <c r="I33" s="220" t="s">
        <v>1084</v>
      </c>
    </row>
    <row r="34" spans="1:9">
      <c r="A34" s="267">
        <v>45720</v>
      </c>
      <c r="B34" s="218" t="s">
        <v>954</v>
      </c>
      <c r="C34" s="77" t="s">
        <v>179</v>
      </c>
      <c r="D34" s="77" t="s">
        <v>120</v>
      </c>
      <c r="E34" s="306">
        <v>20000</v>
      </c>
      <c r="F34" s="308"/>
      <c r="G34" s="309">
        <f t="shared" si="0"/>
        <v>664167</v>
      </c>
      <c r="H34" s="77" t="s">
        <v>161</v>
      </c>
      <c r="I34" s="220" t="s">
        <v>1085</v>
      </c>
    </row>
    <row r="35" spans="1:9">
      <c r="A35" s="267">
        <v>45720</v>
      </c>
      <c r="B35" s="218" t="s">
        <v>955</v>
      </c>
      <c r="C35" s="77" t="s">
        <v>953</v>
      </c>
      <c r="D35" s="77" t="s">
        <v>120</v>
      </c>
      <c r="E35" s="306">
        <v>50000</v>
      </c>
      <c r="F35" s="306"/>
      <c r="G35" s="309">
        <f t="shared" si="0"/>
        <v>614167</v>
      </c>
      <c r="H35" s="77" t="s">
        <v>161</v>
      </c>
      <c r="I35" s="220" t="s">
        <v>1086</v>
      </c>
    </row>
    <row r="36" spans="1:9">
      <c r="A36" s="267">
        <v>45720</v>
      </c>
      <c r="B36" s="218" t="s">
        <v>1515</v>
      </c>
      <c r="C36" s="77" t="s">
        <v>130</v>
      </c>
      <c r="D36" s="77" t="s">
        <v>120</v>
      </c>
      <c r="E36" s="306">
        <v>30000</v>
      </c>
      <c r="F36" s="306"/>
      <c r="G36" s="309">
        <f t="shared" si="0"/>
        <v>584167</v>
      </c>
      <c r="H36" s="77" t="s">
        <v>161</v>
      </c>
      <c r="I36" s="218" t="s">
        <v>1134</v>
      </c>
    </row>
    <row r="37" spans="1:9">
      <c r="A37" s="267">
        <v>45720</v>
      </c>
      <c r="B37" s="77" t="s">
        <v>956</v>
      </c>
      <c r="C37" s="77" t="s">
        <v>278</v>
      </c>
      <c r="D37" s="77" t="s">
        <v>208</v>
      </c>
      <c r="E37" s="306">
        <v>50000</v>
      </c>
      <c r="F37" s="306"/>
      <c r="G37" s="309">
        <f t="shared" si="0"/>
        <v>534167</v>
      </c>
      <c r="H37" s="77" t="s">
        <v>161</v>
      </c>
      <c r="I37" s="218" t="s">
        <v>1135</v>
      </c>
    </row>
    <row r="38" spans="1:9">
      <c r="A38" s="267">
        <v>45721</v>
      </c>
      <c r="B38" s="218" t="s">
        <v>192</v>
      </c>
      <c r="C38" s="77" t="s">
        <v>127</v>
      </c>
      <c r="D38" s="77"/>
      <c r="E38" s="306">
        <v>20000</v>
      </c>
      <c r="F38" s="306"/>
      <c r="G38" s="309">
        <f t="shared" si="0"/>
        <v>514167</v>
      </c>
      <c r="H38" s="77" t="s">
        <v>192</v>
      </c>
      <c r="I38" s="220" t="s">
        <v>1004</v>
      </c>
    </row>
    <row r="39" spans="1:9">
      <c r="A39" s="267">
        <v>45721</v>
      </c>
      <c r="B39" s="218" t="s">
        <v>223</v>
      </c>
      <c r="C39" s="77" t="s">
        <v>127</v>
      </c>
      <c r="D39" s="77"/>
      <c r="E39" s="306">
        <v>20000</v>
      </c>
      <c r="F39" s="306"/>
      <c r="G39" s="309">
        <f t="shared" si="0"/>
        <v>494167</v>
      </c>
      <c r="H39" s="77" t="s">
        <v>223</v>
      </c>
      <c r="I39" s="220" t="s">
        <v>1005</v>
      </c>
    </row>
    <row r="40" spans="1:9">
      <c r="A40" s="267">
        <v>45721</v>
      </c>
      <c r="B40" s="218" t="s">
        <v>198</v>
      </c>
      <c r="C40" s="77" t="s">
        <v>127</v>
      </c>
      <c r="D40" s="77"/>
      <c r="E40" s="306">
        <v>30000</v>
      </c>
      <c r="F40" s="306"/>
      <c r="G40" s="309">
        <f t="shared" si="0"/>
        <v>464167</v>
      </c>
      <c r="H40" s="77" t="s">
        <v>198</v>
      </c>
      <c r="I40" s="220" t="s">
        <v>1006</v>
      </c>
    </row>
    <row r="41" spans="1:9">
      <c r="A41" s="267">
        <v>45722</v>
      </c>
      <c r="B41" s="218" t="s">
        <v>674</v>
      </c>
      <c r="C41" s="77" t="s">
        <v>414</v>
      </c>
      <c r="D41" s="77" t="s">
        <v>124</v>
      </c>
      <c r="E41" s="306">
        <v>30000</v>
      </c>
      <c r="F41" s="306"/>
      <c r="G41" s="309">
        <f t="shared" si="0"/>
        <v>434167</v>
      </c>
      <c r="H41" s="77" t="s">
        <v>156</v>
      </c>
      <c r="I41" s="220" t="s">
        <v>1087</v>
      </c>
    </row>
    <row r="42" spans="1:9">
      <c r="A42" s="267">
        <v>45722</v>
      </c>
      <c r="B42" s="77" t="s">
        <v>957</v>
      </c>
      <c r="C42" s="77" t="s">
        <v>189</v>
      </c>
      <c r="D42" s="77" t="s">
        <v>121</v>
      </c>
      <c r="E42" s="306">
        <v>1952</v>
      </c>
      <c r="F42" s="306"/>
      <c r="G42" s="309">
        <f t="shared" si="0"/>
        <v>432215</v>
      </c>
      <c r="H42" s="77" t="s">
        <v>201</v>
      </c>
      <c r="I42" s="220" t="s">
        <v>1088</v>
      </c>
    </row>
    <row r="43" spans="1:9">
      <c r="A43" s="267">
        <v>45722</v>
      </c>
      <c r="B43" s="218" t="s">
        <v>351</v>
      </c>
      <c r="C43" s="77" t="s">
        <v>127</v>
      </c>
      <c r="D43" s="77"/>
      <c r="E43" s="306">
        <v>100000</v>
      </c>
      <c r="F43" s="308"/>
      <c r="G43" s="309">
        <f t="shared" si="0"/>
        <v>332215</v>
      </c>
      <c r="H43" s="77" t="s">
        <v>351</v>
      </c>
      <c r="I43" s="220" t="s">
        <v>1007</v>
      </c>
    </row>
    <row r="44" spans="1:9">
      <c r="A44" s="267">
        <v>45722</v>
      </c>
      <c r="B44" s="77" t="s">
        <v>340</v>
      </c>
      <c r="C44" s="77" t="s">
        <v>127</v>
      </c>
      <c r="D44" s="77"/>
      <c r="E44" s="306">
        <v>20000</v>
      </c>
      <c r="F44" s="308"/>
      <c r="G44" s="309">
        <f t="shared" si="0"/>
        <v>312215</v>
      </c>
      <c r="H44" s="77" t="s">
        <v>340</v>
      </c>
      <c r="I44" s="220" t="s">
        <v>1008</v>
      </c>
    </row>
    <row r="45" spans="1:9">
      <c r="A45" s="267">
        <v>45723</v>
      </c>
      <c r="B45" s="77" t="s">
        <v>958</v>
      </c>
      <c r="C45" s="77" t="s">
        <v>324</v>
      </c>
      <c r="D45" s="77" t="s">
        <v>121</v>
      </c>
      <c r="E45" s="306">
        <v>20000</v>
      </c>
      <c r="F45" s="306"/>
      <c r="G45" s="309">
        <f t="shared" si="0"/>
        <v>292215</v>
      </c>
      <c r="H45" s="77" t="s">
        <v>156</v>
      </c>
      <c r="I45" s="220" t="s">
        <v>1089</v>
      </c>
    </row>
    <row r="46" spans="1:9">
      <c r="A46" s="267">
        <v>45726</v>
      </c>
      <c r="B46" s="77" t="s">
        <v>351</v>
      </c>
      <c r="C46" s="77" t="s">
        <v>127</v>
      </c>
      <c r="D46" s="77"/>
      <c r="E46" s="306">
        <v>139000</v>
      </c>
      <c r="F46" s="308"/>
      <c r="G46" s="309">
        <f t="shared" si="0"/>
        <v>153215</v>
      </c>
      <c r="H46" s="77" t="s">
        <v>351</v>
      </c>
      <c r="I46" s="220" t="s">
        <v>1009</v>
      </c>
    </row>
    <row r="47" spans="1:9">
      <c r="A47" s="267">
        <v>45726</v>
      </c>
      <c r="B47" s="77" t="s">
        <v>644</v>
      </c>
      <c r="C47" s="77" t="s">
        <v>189</v>
      </c>
      <c r="D47" s="77" t="s">
        <v>121</v>
      </c>
      <c r="E47" s="306">
        <v>4170</v>
      </c>
      <c r="F47" s="306"/>
      <c r="G47" s="309">
        <f t="shared" si="0"/>
        <v>149045</v>
      </c>
      <c r="H47" s="77" t="s">
        <v>201</v>
      </c>
      <c r="I47" s="220" t="s">
        <v>1090</v>
      </c>
    </row>
    <row r="48" spans="1:9">
      <c r="A48" s="267">
        <v>45726</v>
      </c>
      <c r="B48" s="77" t="s">
        <v>959</v>
      </c>
      <c r="C48" s="77" t="s">
        <v>127</v>
      </c>
      <c r="D48" s="77"/>
      <c r="E48" s="306"/>
      <c r="F48" s="308">
        <v>2000000</v>
      </c>
      <c r="G48" s="309">
        <f t="shared" si="0"/>
        <v>2149045</v>
      </c>
      <c r="H48" s="77" t="s">
        <v>151</v>
      </c>
      <c r="I48" s="220" t="s">
        <v>1010</v>
      </c>
    </row>
    <row r="49" spans="1:9">
      <c r="A49" s="267">
        <v>45726</v>
      </c>
      <c r="B49" s="77" t="s">
        <v>192</v>
      </c>
      <c r="C49" s="77" t="s">
        <v>127</v>
      </c>
      <c r="D49" s="77"/>
      <c r="E49" s="306">
        <v>243000</v>
      </c>
      <c r="F49" s="308"/>
      <c r="G49" s="309">
        <f t="shared" si="0"/>
        <v>1906045</v>
      </c>
      <c r="H49" s="77" t="s">
        <v>192</v>
      </c>
      <c r="I49" s="220" t="s">
        <v>1011</v>
      </c>
    </row>
    <row r="50" spans="1:9">
      <c r="A50" s="267">
        <v>45726</v>
      </c>
      <c r="B50" s="77" t="s">
        <v>181</v>
      </c>
      <c r="C50" s="77" t="s">
        <v>127</v>
      </c>
      <c r="D50" s="77"/>
      <c r="E50" s="306">
        <v>230000</v>
      </c>
      <c r="F50" s="308"/>
      <c r="G50" s="309">
        <f t="shared" si="0"/>
        <v>1676045</v>
      </c>
      <c r="H50" s="77" t="s">
        <v>181</v>
      </c>
      <c r="I50" s="220" t="s">
        <v>1012</v>
      </c>
    </row>
    <row r="51" spans="1:9">
      <c r="A51" s="267">
        <v>45726</v>
      </c>
      <c r="B51" s="77" t="s">
        <v>340</v>
      </c>
      <c r="C51" s="77" t="s">
        <v>127</v>
      </c>
      <c r="D51" s="77"/>
      <c r="E51" s="306">
        <v>249000</v>
      </c>
      <c r="F51" s="306"/>
      <c r="G51" s="309">
        <f t="shared" si="0"/>
        <v>1427045</v>
      </c>
      <c r="H51" s="77" t="s">
        <v>340</v>
      </c>
      <c r="I51" s="220" t="s">
        <v>1013</v>
      </c>
    </row>
    <row r="52" spans="1:9">
      <c r="A52" s="267">
        <v>45726</v>
      </c>
      <c r="B52" s="77" t="s">
        <v>960</v>
      </c>
      <c r="C52" s="77" t="s">
        <v>130</v>
      </c>
      <c r="D52" s="77" t="s">
        <v>120</v>
      </c>
      <c r="E52" s="306">
        <v>30000</v>
      </c>
      <c r="F52" s="306"/>
      <c r="G52" s="309">
        <f t="shared" si="0"/>
        <v>1397045</v>
      </c>
      <c r="H52" s="77" t="s">
        <v>161</v>
      </c>
      <c r="I52" s="218" t="s">
        <v>1136</v>
      </c>
    </row>
    <row r="53" spans="1:9">
      <c r="A53" s="267">
        <v>45726</v>
      </c>
      <c r="B53" s="77" t="s">
        <v>961</v>
      </c>
      <c r="C53" s="77" t="s">
        <v>278</v>
      </c>
      <c r="D53" s="77" t="s">
        <v>208</v>
      </c>
      <c r="E53" s="306">
        <v>45000</v>
      </c>
      <c r="F53" s="306"/>
      <c r="G53" s="309">
        <f t="shared" si="0"/>
        <v>1352045</v>
      </c>
      <c r="H53" s="77" t="s">
        <v>161</v>
      </c>
      <c r="I53" s="218" t="s">
        <v>1137</v>
      </c>
    </row>
    <row r="54" spans="1:9">
      <c r="A54" s="267">
        <v>45726</v>
      </c>
      <c r="B54" s="77" t="s">
        <v>701</v>
      </c>
      <c r="C54" s="77" t="s">
        <v>127</v>
      </c>
      <c r="D54" s="77"/>
      <c r="E54" s="306"/>
      <c r="F54" s="306">
        <v>130000</v>
      </c>
      <c r="G54" s="309">
        <f t="shared" si="0"/>
        <v>1482045</v>
      </c>
      <c r="H54" s="77" t="s">
        <v>156</v>
      </c>
      <c r="I54" s="220" t="s">
        <v>1014</v>
      </c>
    </row>
    <row r="55" spans="1:9">
      <c r="A55" s="267">
        <v>45726</v>
      </c>
      <c r="B55" s="77" t="s">
        <v>181</v>
      </c>
      <c r="C55" s="77" t="s">
        <v>127</v>
      </c>
      <c r="D55" s="77"/>
      <c r="E55" s="306"/>
      <c r="F55" s="306">
        <v>30000</v>
      </c>
      <c r="G55" s="309">
        <f t="shared" si="0"/>
        <v>1512045</v>
      </c>
      <c r="H55" s="77" t="s">
        <v>181</v>
      </c>
      <c r="I55" s="220" t="s">
        <v>1015</v>
      </c>
    </row>
    <row r="56" spans="1:9">
      <c r="A56" s="267">
        <v>45727</v>
      </c>
      <c r="B56" s="77" t="s">
        <v>962</v>
      </c>
      <c r="C56" s="77" t="s">
        <v>129</v>
      </c>
      <c r="D56" s="77" t="s">
        <v>121</v>
      </c>
      <c r="E56" s="306">
        <v>72102</v>
      </c>
      <c r="F56" s="306"/>
      <c r="G56" s="309">
        <f t="shared" si="0"/>
        <v>1439943</v>
      </c>
      <c r="H56" s="77" t="s">
        <v>201</v>
      </c>
      <c r="I56" s="220" t="s">
        <v>1091</v>
      </c>
    </row>
    <row r="57" spans="1:9">
      <c r="A57" s="267">
        <v>45727</v>
      </c>
      <c r="B57" s="77" t="s">
        <v>963</v>
      </c>
      <c r="C57" s="77" t="s">
        <v>130</v>
      </c>
      <c r="D57" s="77" t="s">
        <v>964</v>
      </c>
      <c r="E57" s="306">
        <v>112000</v>
      </c>
      <c r="F57" s="306"/>
      <c r="G57" s="309">
        <f t="shared" si="0"/>
        <v>1327943</v>
      </c>
      <c r="H57" s="77" t="s">
        <v>673</v>
      </c>
      <c r="I57" s="220" t="s">
        <v>1092</v>
      </c>
    </row>
    <row r="58" spans="1:9">
      <c r="A58" s="267">
        <v>45728</v>
      </c>
      <c r="B58" s="218" t="s">
        <v>640</v>
      </c>
      <c r="C58" s="77" t="s">
        <v>176</v>
      </c>
      <c r="D58" s="77" t="s">
        <v>121</v>
      </c>
      <c r="E58" s="306">
        <v>25000</v>
      </c>
      <c r="F58" s="306"/>
      <c r="G58" s="309">
        <f t="shared" si="0"/>
        <v>1302943</v>
      </c>
      <c r="H58" s="77" t="s">
        <v>201</v>
      </c>
      <c r="I58" s="220" t="s">
        <v>1093</v>
      </c>
    </row>
    <row r="59" spans="1:9">
      <c r="A59" s="267">
        <v>45728</v>
      </c>
      <c r="B59" s="218" t="s">
        <v>642</v>
      </c>
      <c r="C59" s="77" t="s">
        <v>176</v>
      </c>
      <c r="D59" s="77" t="s">
        <v>121</v>
      </c>
      <c r="E59" s="306">
        <v>56550</v>
      </c>
      <c r="F59" s="306"/>
      <c r="G59" s="309">
        <f t="shared" si="0"/>
        <v>1246393</v>
      </c>
      <c r="H59" s="77" t="s">
        <v>673</v>
      </c>
      <c r="I59" s="220" t="s">
        <v>1094</v>
      </c>
    </row>
    <row r="60" spans="1:9">
      <c r="A60" s="267">
        <v>45728</v>
      </c>
      <c r="B60" s="218" t="s">
        <v>965</v>
      </c>
      <c r="C60" s="77" t="s">
        <v>155</v>
      </c>
      <c r="D60" s="77" t="s">
        <v>120</v>
      </c>
      <c r="E60" s="306">
        <v>15000</v>
      </c>
      <c r="F60" s="306"/>
      <c r="G60" s="309">
        <f t="shared" si="0"/>
        <v>1231393</v>
      </c>
      <c r="H60" s="77" t="s">
        <v>673</v>
      </c>
      <c r="I60" s="220" t="s">
        <v>1095</v>
      </c>
    </row>
    <row r="61" spans="1:9">
      <c r="A61" s="267">
        <v>45729</v>
      </c>
      <c r="B61" s="77" t="s">
        <v>201</v>
      </c>
      <c r="C61" s="77" t="s">
        <v>127</v>
      </c>
      <c r="D61" s="77"/>
      <c r="E61" s="306">
        <v>20000</v>
      </c>
      <c r="F61" s="306"/>
      <c r="G61" s="309">
        <f t="shared" si="0"/>
        <v>1211393</v>
      </c>
      <c r="H61" s="77" t="s">
        <v>201</v>
      </c>
      <c r="I61" s="220" t="s">
        <v>1016</v>
      </c>
    </row>
    <row r="62" spans="1:9">
      <c r="A62" s="267">
        <v>45729</v>
      </c>
      <c r="B62" s="77" t="s">
        <v>673</v>
      </c>
      <c r="C62" s="77" t="s">
        <v>127</v>
      </c>
      <c r="D62" s="77"/>
      <c r="E62" s="306">
        <v>20000</v>
      </c>
      <c r="F62" s="306"/>
      <c r="G62" s="309">
        <f t="shared" si="0"/>
        <v>1191393</v>
      </c>
      <c r="H62" s="77" t="s">
        <v>673</v>
      </c>
      <c r="I62" s="220" t="s">
        <v>1017</v>
      </c>
    </row>
    <row r="63" spans="1:9">
      <c r="A63" s="267">
        <v>45729</v>
      </c>
      <c r="B63" s="77" t="s">
        <v>644</v>
      </c>
      <c r="C63" s="77" t="s">
        <v>189</v>
      </c>
      <c r="D63" s="77" t="s">
        <v>121</v>
      </c>
      <c r="E63" s="306">
        <v>1740</v>
      </c>
      <c r="F63" s="306"/>
      <c r="G63" s="309">
        <f t="shared" si="0"/>
        <v>1189653</v>
      </c>
      <c r="H63" s="77" t="s">
        <v>201</v>
      </c>
      <c r="I63" s="220" t="s">
        <v>1096</v>
      </c>
    </row>
    <row r="64" spans="1:9">
      <c r="A64" s="267">
        <v>45729</v>
      </c>
      <c r="B64" s="77" t="s">
        <v>351</v>
      </c>
      <c r="C64" s="77" t="s">
        <v>127</v>
      </c>
      <c r="D64" s="77"/>
      <c r="E64" s="306">
        <v>87000</v>
      </c>
      <c r="F64" s="306"/>
      <c r="G64" s="309">
        <f t="shared" si="0"/>
        <v>1102653</v>
      </c>
      <c r="H64" s="77" t="s">
        <v>351</v>
      </c>
      <c r="I64" s="220" t="s">
        <v>1018</v>
      </c>
    </row>
    <row r="65" spans="1:9">
      <c r="A65" s="267">
        <v>45730</v>
      </c>
      <c r="B65" s="77" t="s">
        <v>195</v>
      </c>
      <c r="C65" s="77" t="s">
        <v>127</v>
      </c>
      <c r="D65" s="77"/>
      <c r="E65" s="306">
        <v>20000</v>
      </c>
      <c r="F65" s="306"/>
      <c r="G65" s="309">
        <f t="shared" si="0"/>
        <v>1082653</v>
      </c>
      <c r="H65" s="77" t="s">
        <v>195</v>
      </c>
      <c r="I65" s="220" t="s">
        <v>1019</v>
      </c>
    </row>
    <row r="66" spans="1:9">
      <c r="A66" s="267">
        <v>45732</v>
      </c>
      <c r="B66" s="77" t="s">
        <v>506</v>
      </c>
      <c r="C66" s="77" t="s">
        <v>127</v>
      </c>
      <c r="D66" s="77"/>
      <c r="E66" s="306">
        <v>70000</v>
      </c>
      <c r="F66" s="306"/>
      <c r="G66" s="309">
        <f t="shared" si="0"/>
        <v>1012653</v>
      </c>
      <c r="H66" s="77" t="s">
        <v>506</v>
      </c>
      <c r="I66" s="220" t="s">
        <v>1020</v>
      </c>
    </row>
    <row r="67" spans="1:9">
      <c r="A67" s="267">
        <v>45732</v>
      </c>
      <c r="B67" s="77" t="s">
        <v>195</v>
      </c>
      <c r="C67" s="77" t="s">
        <v>127</v>
      </c>
      <c r="D67" s="77"/>
      <c r="E67" s="306">
        <v>75000</v>
      </c>
      <c r="F67" s="306"/>
      <c r="G67" s="309">
        <f t="shared" si="0"/>
        <v>937653</v>
      </c>
      <c r="H67" s="77" t="s">
        <v>195</v>
      </c>
      <c r="I67" s="220" t="s">
        <v>1021</v>
      </c>
    </row>
    <row r="68" spans="1:9">
      <c r="A68" s="267">
        <v>45732</v>
      </c>
      <c r="B68" s="77" t="s">
        <v>223</v>
      </c>
      <c r="C68" s="77" t="s">
        <v>127</v>
      </c>
      <c r="D68" s="77"/>
      <c r="E68" s="306">
        <v>69000</v>
      </c>
      <c r="F68" s="306"/>
      <c r="G68" s="309">
        <f t="shared" ref="G68:G131" si="1">+G67+F68-E68</f>
        <v>868653</v>
      </c>
      <c r="H68" s="77" t="s">
        <v>223</v>
      </c>
      <c r="I68" s="220" t="s">
        <v>1022</v>
      </c>
    </row>
    <row r="69" spans="1:9">
      <c r="A69" s="267">
        <v>45732</v>
      </c>
      <c r="B69" s="77" t="s">
        <v>966</v>
      </c>
      <c r="C69" s="77" t="s">
        <v>127</v>
      </c>
      <c r="D69" s="77"/>
      <c r="E69" s="306">
        <v>84000</v>
      </c>
      <c r="F69" s="306"/>
      <c r="G69" s="309">
        <f t="shared" si="1"/>
        <v>784653</v>
      </c>
      <c r="H69" s="77" t="s">
        <v>967</v>
      </c>
      <c r="I69" s="220" t="s">
        <v>1023</v>
      </c>
    </row>
    <row r="70" spans="1:9">
      <c r="A70" s="267">
        <v>45732</v>
      </c>
      <c r="B70" s="218" t="s">
        <v>198</v>
      </c>
      <c r="C70" s="218" t="s">
        <v>127</v>
      </c>
      <c r="D70" s="77"/>
      <c r="E70" s="306">
        <v>73000</v>
      </c>
      <c r="F70" s="306"/>
      <c r="G70" s="309">
        <f t="shared" si="1"/>
        <v>711653</v>
      </c>
      <c r="H70" s="77" t="s">
        <v>198</v>
      </c>
      <c r="I70" s="220" t="s">
        <v>1024</v>
      </c>
    </row>
    <row r="71" spans="1:9">
      <c r="A71" s="267">
        <v>45733</v>
      </c>
      <c r="B71" s="218" t="s">
        <v>192</v>
      </c>
      <c r="C71" s="218" t="s">
        <v>127</v>
      </c>
      <c r="D71" s="77"/>
      <c r="E71" s="306">
        <v>307000</v>
      </c>
      <c r="F71" s="306"/>
      <c r="G71" s="309">
        <f t="shared" si="1"/>
        <v>404653</v>
      </c>
      <c r="H71" s="77" t="s">
        <v>192</v>
      </c>
      <c r="I71" s="220" t="s">
        <v>1025</v>
      </c>
    </row>
    <row r="72" spans="1:9">
      <c r="A72" s="219">
        <v>45733</v>
      </c>
      <c r="B72" s="218" t="s">
        <v>351</v>
      </c>
      <c r="C72" s="218" t="s">
        <v>127</v>
      </c>
      <c r="D72" s="77"/>
      <c r="E72" s="306">
        <v>116000</v>
      </c>
      <c r="F72" s="306"/>
      <c r="G72" s="309">
        <f t="shared" si="1"/>
        <v>288653</v>
      </c>
      <c r="H72" s="77" t="s">
        <v>351</v>
      </c>
      <c r="I72" s="220" t="s">
        <v>1026</v>
      </c>
    </row>
    <row r="73" spans="1:9">
      <c r="A73" s="219">
        <v>45733</v>
      </c>
      <c r="B73" s="77" t="s">
        <v>968</v>
      </c>
      <c r="C73" s="218" t="s">
        <v>189</v>
      </c>
      <c r="D73" s="77" t="s">
        <v>121</v>
      </c>
      <c r="E73" s="306">
        <v>12690</v>
      </c>
      <c r="F73" s="306"/>
      <c r="G73" s="309">
        <f t="shared" si="1"/>
        <v>275963</v>
      </c>
      <c r="H73" s="77" t="s">
        <v>673</v>
      </c>
      <c r="I73" s="220" t="s">
        <v>1097</v>
      </c>
    </row>
    <row r="74" spans="1:9">
      <c r="A74" s="219">
        <v>45733</v>
      </c>
      <c r="B74" s="218" t="s">
        <v>969</v>
      </c>
      <c r="C74" s="218" t="s">
        <v>155</v>
      </c>
      <c r="D74" s="218" t="s">
        <v>122</v>
      </c>
      <c r="E74" s="306">
        <v>20000</v>
      </c>
      <c r="F74" s="308"/>
      <c r="G74" s="309">
        <f t="shared" si="1"/>
        <v>255963</v>
      </c>
      <c r="H74" s="218" t="s">
        <v>673</v>
      </c>
      <c r="I74" s="220" t="s">
        <v>1098</v>
      </c>
    </row>
    <row r="75" spans="1:9">
      <c r="A75" s="219">
        <v>45733</v>
      </c>
      <c r="B75" s="77" t="s">
        <v>970</v>
      </c>
      <c r="C75" s="218" t="s">
        <v>155</v>
      </c>
      <c r="D75" s="77" t="s">
        <v>120</v>
      </c>
      <c r="E75" s="306">
        <v>30000</v>
      </c>
      <c r="F75" s="308"/>
      <c r="G75" s="309">
        <f t="shared" si="1"/>
        <v>225963</v>
      </c>
      <c r="H75" s="77" t="s">
        <v>673</v>
      </c>
      <c r="I75" s="220" t="s">
        <v>1099</v>
      </c>
    </row>
    <row r="76" spans="1:9">
      <c r="A76" s="219">
        <v>45733</v>
      </c>
      <c r="B76" s="77" t="s">
        <v>971</v>
      </c>
      <c r="C76" s="218" t="s">
        <v>155</v>
      </c>
      <c r="D76" s="77" t="s">
        <v>124</v>
      </c>
      <c r="E76" s="306">
        <v>55000</v>
      </c>
      <c r="F76" s="308"/>
      <c r="G76" s="309">
        <f t="shared" si="1"/>
        <v>170963</v>
      </c>
      <c r="H76" s="77" t="s">
        <v>673</v>
      </c>
      <c r="I76" s="220" t="s">
        <v>1100</v>
      </c>
    </row>
    <row r="77" spans="1:9">
      <c r="A77" s="219">
        <v>45733</v>
      </c>
      <c r="B77" s="77" t="s">
        <v>972</v>
      </c>
      <c r="C77" s="218" t="s">
        <v>155</v>
      </c>
      <c r="D77" s="77" t="s">
        <v>123</v>
      </c>
      <c r="E77" s="306">
        <v>10000</v>
      </c>
      <c r="F77" s="308"/>
      <c r="G77" s="309">
        <f t="shared" si="1"/>
        <v>160963</v>
      </c>
      <c r="H77" s="77" t="s">
        <v>673</v>
      </c>
      <c r="I77" s="220" t="s">
        <v>1101</v>
      </c>
    </row>
    <row r="78" spans="1:9">
      <c r="A78" s="219">
        <v>45733</v>
      </c>
      <c r="B78" s="77" t="s">
        <v>973</v>
      </c>
      <c r="C78" s="218" t="s">
        <v>155</v>
      </c>
      <c r="D78" s="77" t="s">
        <v>120</v>
      </c>
      <c r="E78" s="306">
        <v>10000</v>
      </c>
      <c r="F78" s="308"/>
      <c r="G78" s="309">
        <f t="shared" si="1"/>
        <v>150963</v>
      </c>
      <c r="H78" s="77" t="s">
        <v>673</v>
      </c>
      <c r="I78" s="220" t="s">
        <v>1102</v>
      </c>
    </row>
    <row r="79" spans="1:9">
      <c r="A79" s="219">
        <v>45733</v>
      </c>
      <c r="B79" s="77" t="s">
        <v>974</v>
      </c>
      <c r="C79" s="218" t="s">
        <v>155</v>
      </c>
      <c r="D79" s="77" t="s">
        <v>124</v>
      </c>
      <c r="E79" s="306">
        <v>5000</v>
      </c>
      <c r="F79" s="308"/>
      <c r="G79" s="309">
        <f t="shared" si="1"/>
        <v>145963</v>
      </c>
      <c r="H79" s="77" t="s">
        <v>673</v>
      </c>
      <c r="I79" s="220" t="s">
        <v>1103</v>
      </c>
    </row>
    <row r="80" spans="1:9">
      <c r="A80" s="219">
        <v>45734</v>
      </c>
      <c r="B80" s="77" t="s">
        <v>975</v>
      </c>
      <c r="C80" s="218" t="s">
        <v>127</v>
      </c>
      <c r="D80" s="77"/>
      <c r="E80" s="306"/>
      <c r="F80" s="308">
        <v>2000000</v>
      </c>
      <c r="G80" s="309">
        <f t="shared" si="1"/>
        <v>2145963</v>
      </c>
      <c r="H80" s="77" t="s">
        <v>151</v>
      </c>
      <c r="I80" s="220" t="s">
        <v>1027</v>
      </c>
    </row>
    <row r="81" spans="1:9">
      <c r="A81" s="219">
        <v>45734</v>
      </c>
      <c r="B81" s="218" t="s">
        <v>976</v>
      </c>
      <c r="C81" s="218" t="s">
        <v>179</v>
      </c>
      <c r="D81" s="218" t="s">
        <v>120</v>
      </c>
      <c r="E81" s="306">
        <v>21000</v>
      </c>
      <c r="F81" s="308"/>
      <c r="G81" s="309">
        <f t="shared" si="1"/>
        <v>2124963</v>
      </c>
      <c r="H81" s="77" t="s">
        <v>201</v>
      </c>
      <c r="I81" s="220" t="s">
        <v>1104</v>
      </c>
    </row>
    <row r="82" spans="1:9">
      <c r="A82" s="219">
        <v>45734</v>
      </c>
      <c r="B82" s="218" t="s">
        <v>977</v>
      </c>
      <c r="C82" s="218" t="s">
        <v>953</v>
      </c>
      <c r="D82" s="218" t="s">
        <v>120</v>
      </c>
      <c r="E82" s="306">
        <v>75000</v>
      </c>
      <c r="F82" s="308"/>
      <c r="G82" s="309">
        <f t="shared" si="1"/>
        <v>2049963</v>
      </c>
      <c r="H82" s="77" t="s">
        <v>201</v>
      </c>
      <c r="I82" s="220" t="s">
        <v>1105</v>
      </c>
    </row>
    <row r="83" spans="1:9">
      <c r="A83" s="219">
        <v>45734</v>
      </c>
      <c r="B83" s="218" t="s">
        <v>978</v>
      </c>
      <c r="C83" s="218" t="s">
        <v>179</v>
      </c>
      <c r="D83" s="218" t="s">
        <v>120</v>
      </c>
      <c r="E83" s="306">
        <v>21000</v>
      </c>
      <c r="F83" s="308"/>
      <c r="G83" s="309">
        <f t="shared" si="1"/>
        <v>2028963</v>
      </c>
      <c r="H83" s="77" t="s">
        <v>201</v>
      </c>
      <c r="I83" s="220" t="s">
        <v>1106</v>
      </c>
    </row>
    <row r="84" spans="1:9">
      <c r="A84" s="219">
        <v>45734</v>
      </c>
      <c r="B84" s="218" t="s">
        <v>979</v>
      </c>
      <c r="C84" s="218" t="s">
        <v>953</v>
      </c>
      <c r="D84" s="218" t="s">
        <v>120</v>
      </c>
      <c r="E84" s="306">
        <v>50000</v>
      </c>
      <c r="F84" s="308"/>
      <c r="G84" s="309">
        <f t="shared" si="1"/>
        <v>1978963</v>
      </c>
      <c r="H84" s="77" t="s">
        <v>201</v>
      </c>
      <c r="I84" s="220" t="s">
        <v>1107</v>
      </c>
    </row>
    <row r="85" spans="1:9">
      <c r="A85" s="219">
        <v>45734</v>
      </c>
      <c r="B85" s="218" t="s">
        <v>201</v>
      </c>
      <c r="C85" s="218" t="s">
        <v>127</v>
      </c>
      <c r="D85" s="218"/>
      <c r="E85" s="306">
        <v>138000</v>
      </c>
      <c r="F85" s="308"/>
      <c r="G85" s="309">
        <f t="shared" si="1"/>
        <v>1840963</v>
      </c>
      <c r="H85" s="77" t="s">
        <v>201</v>
      </c>
      <c r="I85" s="220" t="s">
        <v>1028</v>
      </c>
    </row>
    <row r="86" spans="1:9">
      <c r="A86" s="219">
        <v>45735</v>
      </c>
      <c r="B86" s="218" t="s">
        <v>506</v>
      </c>
      <c r="C86" s="218" t="s">
        <v>127</v>
      </c>
      <c r="D86" s="77"/>
      <c r="E86" s="306">
        <v>360000</v>
      </c>
      <c r="F86" s="308"/>
      <c r="G86" s="309">
        <f t="shared" si="1"/>
        <v>1480963</v>
      </c>
      <c r="H86" s="77" t="s">
        <v>506</v>
      </c>
      <c r="I86" s="220" t="s">
        <v>1029</v>
      </c>
    </row>
    <row r="87" spans="1:9">
      <c r="A87" s="219">
        <v>45735</v>
      </c>
      <c r="B87" s="218" t="s">
        <v>966</v>
      </c>
      <c r="C87" s="218" t="s">
        <v>127</v>
      </c>
      <c r="D87" s="77"/>
      <c r="E87" s="306">
        <v>84000</v>
      </c>
      <c r="F87" s="308"/>
      <c r="G87" s="309">
        <f t="shared" si="1"/>
        <v>1396963</v>
      </c>
      <c r="H87" s="77" t="s">
        <v>967</v>
      </c>
      <c r="I87" s="220" t="s">
        <v>1030</v>
      </c>
    </row>
    <row r="88" spans="1:9">
      <c r="A88" s="219">
        <v>45735</v>
      </c>
      <c r="B88" s="218" t="s">
        <v>195</v>
      </c>
      <c r="C88" s="218" t="s">
        <v>127</v>
      </c>
      <c r="D88" s="77"/>
      <c r="E88" s="306">
        <v>75000</v>
      </c>
      <c r="F88" s="308"/>
      <c r="G88" s="309">
        <f t="shared" si="1"/>
        <v>1321963</v>
      </c>
      <c r="H88" s="77" t="s">
        <v>195</v>
      </c>
      <c r="I88" s="220" t="s">
        <v>1031</v>
      </c>
    </row>
    <row r="89" spans="1:9">
      <c r="A89" s="219">
        <v>45735</v>
      </c>
      <c r="B89" s="218" t="s">
        <v>198</v>
      </c>
      <c r="C89" s="218" t="s">
        <v>127</v>
      </c>
      <c r="D89" s="77"/>
      <c r="E89" s="306">
        <v>73000</v>
      </c>
      <c r="F89" s="308"/>
      <c r="G89" s="309">
        <f t="shared" si="1"/>
        <v>1248963</v>
      </c>
      <c r="H89" s="77" t="s">
        <v>198</v>
      </c>
      <c r="I89" s="220" t="s">
        <v>1032</v>
      </c>
    </row>
    <row r="90" spans="1:9">
      <c r="A90" s="219">
        <v>45735</v>
      </c>
      <c r="B90" s="218" t="s">
        <v>223</v>
      </c>
      <c r="C90" s="218" t="s">
        <v>127</v>
      </c>
      <c r="D90" s="77"/>
      <c r="E90" s="306">
        <v>69000</v>
      </c>
      <c r="F90" s="308"/>
      <c r="G90" s="309">
        <f t="shared" si="1"/>
        <v>1179963</v>
      </c>
      <c r="H90" s="218" t="s">
        <v>223</v>
      </c>
      <c r="I90" s="220" t="s">
        <v>1033</v>
      </c>
    </row>
    <row r="91" spans="1:9">
      <c r="A91" s="219">
        <v>45735</v>
      </c>
      <c r="B91" s="77" t="s">
        <v>980</v>
      </c>
      <c r="C91" s="218" t="s">
        <v>189</v>
      </c>
      <c r="D91" s="77" t="s">
        <v>121</v>
      </c>
      <c r="E91" s="306">
        <v>19830</v>
      </c>
      <c r="F91" s="308"/>
      <c r="G91" s="309">
        <f t="shared" si="1"/>
        <v>1160133</v>
      </c>
      <c r="H91" s="218" t="s">
        <v>673</v>
      </c>
      <c r="I91" s="220" t="s">
        <v>1108</v>
      </c>
    </row>
    <row r="92" spans="1:9">
      <c r="A92" s="219">
        <v>45735</v>
      </c>
      <c r="B92" s="218" t="s">
        <v>181</v>
      </c>
      <c r="C92" s="218" t="s">
        <v>127</v>
      </c>
      <c r="D92" s="77"/>
      <c r="E92" s="306">
        <v>10000</v>
      </c>
      <c r="F92" s="308"/>
      <c r="G92" s="309">
        <f t="shared" si="1"/>
        <v>1150133</v>
      </c>
      <c r="H92" s="218" t="s">
        <v>181</v>
      </c>
      <c r="I92" s="220" t="s">
        <v>1034</v>
      </c>
    </row>
    <row r="93" spans="1:9">
      <c r="A93" s="219">
        <v>45735</v>
      </c>
      <c r="B93" s="218" t="s">
        <v>981</v>
      </c>
      <c r="C93" s="218" t="s">
        <v>176</v>
      </c>
      <c r="D93" s="77" t="s">
        <v>121</v>
      </c>
      <c r="E93" s="306">
        <v>300000</v>
      </c>
      <c r="F93" s="306"/>
      <c r="G93" s="309">
        <f t="shared" si="1"/>
        <v>850133</v>
      </c>
      <c r="H93" s="218" t="s">
        <v>673</v>
      </c>
      <c r="I93" s="220" t="s">
        <v>1109</v>
      </c>
    </row>
    <row r="94" spans="1:9">
      <c r="A94" s="219">
        <v>45735</v>
      </c>
      <c r="B94" s="77" t="s">
        <v>340</v>
      </c>
      <c r="C94" s="77" t="s">
        <v>127</v>
      </c>
      <c r="D94" s="77"/>
      <c r="E94" s="309">
        <v>100000</v>
      </c>
      <c r="F94" s="310"/>
      <c r="G94" s="309">
        <f t="shared" si="1"/>
        <v>750133</v>
      </c>
      <c r="H94" s="77" t="s">
        <v>340</v>
      </c>
      <c r="I94" s="220" t="s">
        <v>1035</v>
      </c>
    </row>
    <row r="95" spans="1:9">
      <c r="A95" s="219">
        <v>45735</v>
      </c>
      <c r="B95" s="77" t="s">
        <v>506</v>
      </c>
      <c r="C95" s="77" t="s">
        <v>127</v>
      </c>
      <c r="D95" s="77"/>
      <c r="E95" s="172"/>
      <c r="F95" s="310">
        <v>300000</v>
      </c>
      <c r="G95" s="309">
        <f t="shared" si="1"/>
        <v>1050133</v>
      </c>
      <c r="H95" s="77" t="s">
        <v>506</v>
      </c>
      <c r="I95" s="220" t="s">
        <v>1036</v>
      </c>
    </row>
    <row r="96" spans="1:9">
      <c r="A96" s="219">
        <v>45735</v>
      </c>
      <c r="B96" s="77" t="s">
        <v>192</v>
      </c>
      <c r="C96" s="77" t="s">
        <v>127</v>
      </c>
      <c r="D96" s="77"/>
      <c r="E96" s="306">
        <v>300000</v>
      </c>
      <c r="F96" s="310"/>
      <c r="G96" s="309">
        <f t="shared" si="1"/>
        <v>750133</v>
      </c>
      <c r="H96" s="77" t="s">
        <v>192</v>
      </c>
      <c r="I96" s="220" t="s">
        <v>1037</v>
      </c>
    </row>
    <row r="97" spans="1:9" s="277" customFormat="1">
      <c r="A97" s="219">
        <v>45736</v>
      </c>
      <c r="B97" s="218" t="s">
        <v>982</v>
      </c>
      <c r="C97" s="218" t="s">
        <v>127</v>
      </c>
      <c r="D97" s="218"/>
      <c r="E97" s="309">
        <v>33000</v>
      </c>
      <c r="F97" s="309"/>
      <c r="G97" s="309">
        <f t="shared" si="1"/>
        <v>717133</v>
      </c>
      <c r="H97" s="218" t="s">
        <v>156</v>
      </c>
      <c r="I97" s="220" t="s">
        <v>1038</v>
      </c>
    </row>
    <row r="98" spans="1:9">
      <c r="A98" s="219">
        <v>45736</v>
      </c>
      <c r="B98" s="218" t="s">
        <v>192</v>
      </c>
      <c r="C98" s="218" t="s">
        <v>127</v>
      </c>
      <c r="D98" s="77"/>
      <c r="E98" s="306">
        <v>172000</v>
      </c>
      <c r="F98" s="308"/>
      <c r="G98" s="309">
        <f t="shared" si="1"/>
        <v>545133</v>
      </c>
      <c r="H98" s="218" t="s">
        <v>192</v>
      </c>
      <c r="I98" s="220" t="s">
        <v>1039</v>
      </c>
    </row>
    <row r="99" spans="1:9">
      <c r="A99" s="219">
        <v>45736</v>
      </c>
      <c r="B99" s="218" t="s">
        <v>351</v>
      </c>
      <c r="C99" s="218" t="s">
        <v>127</v>
      </c>
      <c r="D99" s="77"/>
      <c r="E99" s="306">
        <v>58000</v>
      </c>
      <c r="F99" s="306"/>
      <c r="G99" s="309">
        <f t="shared" si="1"/>
        <v>487133</v>
      </c>
      <c r="H99" s="77" t="s">
        <v>351</v>
      </c>
      <c r="I99" s="220" t="s">
        <v>1040</v>
      </c>
    </row>
    <row r="100" spans="1:9">
      <c r="A100" s="219">
        <v>45736</v>
      </c>
      <c r="B100" s="218" t="s">
        <v>968</v>
      </c>
      <c r="C100" s="218" t="s">
        <v>189</v>
      </c>
      <c r="D100" s="77" t="s">
        <v>121</v>
      </c>
      <c r="E100" s="306">
        <v>6320</v>
      </c>
      <c r="F100" s="306"/>
      <c r="G100" s="309">
        <f t="shared" si="1"/>
        <v>480813</v>
      </c>
      <c r="H100" s="218" t="s">
        <v>351</v>
      </c>
      <c r="I100" s="220" t="s">
        <v>1110</v>
      </c>
    </row>
    <row r="101" spans="1:9">
      <c r="A101" s="219">
        <v>45736</v>
      </c>
      <c r="B101" s="218" t="s">
        <v>156</v>
      </c>
      <c r="C101" s="218" t="s">
        <v>127</v>
      </c>
      <c r="D101" s="77"/>
      <c r="E101" s="306">
        <v>50000</v>
      </c>
      <c r="F101" s="306"/>
      <c r="G101" s="309">
        <f t="shared" si="1"/>
        <v>430813</v>
      </c>
      <c r="H101" s="77" t="s">
        <v>156</v>
      </c>
      <c r="I101" s="220" t="s">
        <v>1041</v>
      </c>
    </row>
    <row r="102" spans="1:9">
      <c r="A102" s="219">
        <v>45736</v>
      </c>
      <c r="B102" s="218" t="s">
        <v>340</v>
      </c>
      <c r="C102" s="218" t="s">
        <v>127</v>
      </c>
      <c r="D102" s="77"/>
      <c r="E102" s="306">
        <v>20000</v>
      </c>
      <c r="F102" s="306"/>
      <c r="G102" s="309">
        <f t="shared" si="1"/>
        <v>410813</v>
      </c>
      <c r="H102" s="218" t="s">
        <v>340</v>
      </c>
      <c r="I102" s="220" t="s">
        <v>1042</v>
      </c>
    </row>
    <row r="103" spans="1:9">
      <c r="A103" s="219">
        <v>45736</v>
      </c>
      <c r="B103" s="218" t="s">
        <v>340</v>
      </c>
      <c r="C103" s="218" t="s">
        <v>127</v>
      </c>
      <c r="D103" s="77"/>
      <c r="E103" s="306">
        <v>150000</v>
      </c>
      <c r="F103" s="306"/>
      <c r="G103" s="309">
        <f t="shared" si="1"/>
        <v>260813</v>
      </c>
      <c r="H103" s="218" t="s">
        <v>340</v>
      </c>
      <c r="I103" s="220" t="s">
        <v>1043</v>
      </c>
    </row>
    <row r="104" spans="1:9">
      <c r="A104" s="219">
        <v>45736</v>
      </c>
      <c r="B104" s="218" t="s">
        <v>181</v>
      </c>
      <c r="C104" s="218" t="s">
        <v>127</v>
      </c>
      <c r="D104" s="77"/>
      <c r="E104" s="306">
        <v>150000</v>
      </c>
      <c r="F104" s="306"/>
      <c r="G104" s="309">
        <f t="shared" si="1"/>
        <v>110813</v>
      </c>
      <c r="H104" s="218" t="s">
        <v>181</v>
      </c>
      <c r="I104" s="220" t="s">
        <v>1044</v>
      </c>
    </row>
    <row r="105" spans="1:9">
      <c r="A105" s="219">
        <v>45737</v>
      </c>
      <c r="B105" s="77" t="s">
        <v>983</v>
      </c>
      <c r="C105" s="218" t="s">
        <v>127</v>
      </c>
      <c r="D105" s="77"/>
      <c r="E105" s="306"/>
      <c r="F105" s="306">
        <v>2000000</v>
      </c>
      <c r="G105" s="309">
        <f t="shared" si="1"/>
        <v>2110813</v>
      </c>
      <c r="H105" s="218" t="s">
        <v>151</v>
      </c>
      <c r="I105" s="220" t="s">
        <v>1045</v>
      </c>
    </row>
    <row r="106" spans="1:9">
      <c r="A106" s="267">
        <v>45737</v>
      </c>
      <c r="B106" s="218" t="s">
        <v>506</v>
      </c>
      <c r="C106" s="218" t="s">
        <v>127</v>
      </c>
      <c r="D106" s="77"/>
      <c r="E106" s="306">
        <v>80000</v>
      </c>
      <c r="F106" s="306"/>
      <c r="G106" s="309">
        <f t="shared" si="1"/>
        <v>2030813</v>
      </c>
      <c r="H106" s="218" t="s">
        <v>506</v>
      </c>
      <c r="I106" s="220" t="s">
        <v>1046</v>
      </c>
    </row>
    <row r="107" spans="1:9">
      <c r="A107" s="219">
        <v>45737</v>
      </c>
      <c r="B107" s="218" t="s">
        <v>198</v>
      </c>
      <c r="C107" s="218" t="s">
        <v>127</v>
      </c>
      <c r="D107" s="77"/>
      <c r="E107" s="306">
        <v>100000</v>
      </c>
      <c r="F107" s="306"/>
      <c r="G107" s="309">
        <f t="shared" si="1"/>
        <v>1930813</v>
      </c>
      <c r="H107" s="218" t="s">
        <v>198</v>
      </c>
      <c r="I107" s="220" t="s">
        <v>1047</v>
      </c>
    </row>
    <row r="108" spans="1:9">
      <c r="A108" s="267">
        <v>45737</v>
      </c>
      <c r="B108" s="218" t="s">
        <v>223</v>
      </c>
      <c r="C108" s="218" t="s">
        <v>127</v>
      </c>
      <c r="D108" s="77"/>
      <c r="E108" s="306">
        <v>100000</v>
      </c>
      <c r="F108" s="306"/>
      <c r="G108" s="309">
        <f t="shared" si="1"/>
        <v>1830813</v>
      </c>
      <c r="H108" s="218" t="s">
        <v>223</v>
      </c>
      <c r="I108" s="220" t="s">
        <v>1048</v>
      </c>
    </row>
    <row r="109" spans="1:9">
      <c r="A109" s="219">
        <v>45737</v>
      </c>
      <c r="B109" s="218" t="s">
        <v>195</v>
      </c>
      <c r="C109" s="218" t="s">
        <v>127</v>
      </c>
      <c r="D109" s="77"/>
      <c r="E109" s="306">
        <v>100000</v>
      </c>
      <c r="F109" s="306"/>
      <c r="G109" s="309">
        <f t="shared" si="1"/>
        <v>1730813</v>
      </c>
      <c r="H109" s="218" t="s">
        <v>195</v>
      </c>
      <c r="I109" s="220" t="s">
        <v>1049</v>
      </c>
    </row>
    <row r="110" spans="1:9">
      <c r="A110" s="267">
        <v>45737</v>
      </c>
      <c r="B110" s="218" t="s">
        <v>966</v>
      </c>
      <c r="C110" s="218" t="s">
        <v>127</v>
      </c>
      <c r="D110" s="77"/>
      <c r="E110" s="306">
        <v>108000</v>
      </c>
      <c r="F110" s="306"/>
      <c r="G110" s="309">
        <f t="shared" si="1"/>
        <v>1622813</v>
      </c>
      <c r="H110" s="218" t="s">
        <v>967</v>
      </c>
      <c r="I110" s="220" t="s">
        <v>1050</v>
      </c>
    </row>
    <row r="111" spans="1:9">
      <c r="A111" s="219">
        <v>45737</v>
      </c>
      <c r="B111" s="77" t="s">
        <v>980</v>
      </c>
      <c r="C111" s="77" t="s">
        <v>189</v>
      </c>
      <c r="D111" s="77" t="s">
        <v>121</v>
      </c>
      <c r="E111" s="311">
        <v>14640</v>
      </c>
      <c r="F111" s="311"/>
      <c r="G111" s="309">
        <f t="shared" si="1"/>
        <v>1608173</v>
      </c>
      <c r="H111" s="77" t="s">
        <v>673</v>
      </c>
      <c r="I111" s="220" t="s">
        <v>1111</v>
      </c>
    </row>
    <row r="112" spans="1:9">
      <c r="A112" s="267">
        <v>45740</v>
      </c>
      <c r="B112" s="77" t="s">
        <v>984</v>
      </c>
      <c r="C112" s="218" t="s">
        <v>176</v>
      </c>
      <c r="D112" s="77" t="s">
        <v>121</v>
      </c>
      <c r="E112" s="311">
        <v>101000</v>
      </c>
      <c r="F112" s="311"/>
      <c r="G112" s="309">
        <f t="shared" si="1"/>
        <v>1507173</v>
      </c>
      <c r="H112" s="77" t="s">
        <v>201</v>
      </c>
      <c r="I112" s="220" t="s">
        <v>1112</v>
      </c>
    </row>
    <row r="113" spans="1:9">
      <c r="A113" s="267">
        <v>45740</v>
      </c>
      <c r="B113" s="218" t="s">
        <v>506</v>
      </c>
      <c r="C113" s="218" t="s">
        <v>127</v>
      </c>
      <c r="D113" s="218"/>
      <c r="E113" s="306">
        <v>200000</v>
      </c>
      <c r="F113" s="306"/>
      <c r="G113" s="309">
        <f t="shared" si="1"/>
        <v>1307173</v>
      </c>
      <c r="H113" s="77" t="s">
        <v>506</v>
      </c>
      <c r="I113" s="220" t="s">
        <v>1051</v>
      </c>
    </row>
    <row r="114" spans="1:9">
      <c r="A114" s="267">
        <v>45740</v>
      </c>
      <c r="B114" s="218" t="s">
        <v>340</v>
      </c>
      <c r="C114" s="218" t="s">
        <v>127</v>
      </c>
      <c r="D114" s="77"/>
      <c r="E114" s="306">
        <v>89000</v>
      </c>
      <c r="F114" s="306"/>
      <c r="G114" s="309">
        <f t="shared" si="1"/>
        <v>1218173</v>
      </c>
      <c r="H114" s="218" t="s">
        <v>340</v>
      </c>
      <c r="I114" s="220" t="s">
        <v>1052</v>
      </c>
    </row>
    <row r="115" spans="1:9">
      <c r="A115" s="267">
        <v>45740</v>
      </c>
      <c r="B115" s="77" t="s">
        <v>985</v>
      </c>
      <c r="C115" s="218" t="s">
        <v>189</v>
      </c>
      <c r="D115" s="77" t="s">
        <v>121</v>
      </c>
      <c r="E115" s="306">
        <v>7780</v>
      </c>
      <c r="F115" s="306"/>
      <c r="G115" s="309">
        <f t="shared" si="1"/>
        <v>1210393</v>
      </c>
      <c r="H115" s="218" t="s">
        <v>673</v>
      </c>
      <c r="I115" s="220" t="s">
        <v>1113</v>
      </c>
    </row>
    <row r="116" spans="1:9">
      <c r="A116" s="267">
        <v>45740</v>
      </c>
      <c r="B116" s="218" t="s">
        <v>181</v>
      </c>
      <c r="C116" s="218" t="s">
        <v>127</v>
      </c>
      <c r="D116" s="77"/>
      <c r="E116" s="306">
        <v>122000</v>
      </c>
      <c r="F116" s="306"/>
      <c r="G116" s="309">
        <f t="shared" si="1"/>
        <v>1088393</v>
      </c>
      <c r="H116" s="218" t="s">
        <v>181</v>
      </c>
      <c r="I116" s="220" t="s">
        <v>1053</v>
      </c>
    </row>
    <row r="117" spans="1:9">
      <c r="A117" s="267">
        <v>45740</v>
      </c>
      <c r="B117" s="218" t="s">
        <v>986</v>
      </c>
      <c r="C117" s="218" t="s">
        <v>189</v>
      </c>
      <c r="D117" s="218" t="s">
        <v>121</v>
      </c>
      <c r="E117" s="306">
        <v>6300</v>
      </c>
      <c r="F117" s="306"/>
      <c r="G117" s="309">
        <f t="shared" si="1"/>
        <v>1082093</v>
      </c>
      <c r="H117" s="218" t="s">
        <v>673</v>
      </c>
      <c r="I117" s="220" t="s">
        <v>1114</v>
      </c>
    </row>
    <row r="118" spans="1:9">
      <c r="A118" s="267">
        <v>45740</v>
      </c>
      <c r="B118" s="218" t="s">
        <v>987</v>
      </c>
      <c r="C118" s="218" t="s">
        <v>179</v>
      </c>
      <c r="D118" s="218" t="s">
        <v>120</v>
      </c>
      <c r="E118" s="306">
        <v>42000</v>
      </c>
      <c r="F118" s="308"/>
      <c r="G118" s="309">
        <f t="shared" si="1"/>
        <v>1040093</v>
      </c>
      <c r="H118" s="218" t="s">
        <v>673</v>
      </c>
      <c r="I118" s="220" t="s">
        <v>1115</v>
      </c>
    </row>
    <row r="119" spans="1:9">
      <c r="A119" s="267">
        <v>45740</v>
      </c>
      <c r="B119" s="218" t="s">
        <v>988</v>
      </c>
      <c r="C119" s="218" t="s">
        <v>953</v>
      </c>
      <c r="D119" s="218" t="s">
        <v>120</v>
      </c>
      <c r="E119" s="306">
        <v>275000</v>
      </c>
      <c r="F119" s="308"/>
      <c r="G119" s="309">
        <f t="shared" si="1"/>
        <v>765093</v>
      </c>
      <c r="H119" s="218" t="s">
        <v>201</v>
      </c>
      <c r="I119" s="220" t="s">
        <v>1116</v>
      </c>
    </row>
    <row r="120" spans="1:9">
      <c r="A120" s="267">
        <v>45741</v>
      </c>
      <c r="B120" s="218" t="s">
        <v>192</v>
      </c>
      <c r="C120" s="218" t="s">
        <v>127</v>
      </c>
      <c r="D120" s="77"/>
      <c r="E120" s="306"/>
      <c r="F120" s="306">
        <v>200000</v>
      </c>
      <c r="G120" s="309">
        <f t="shared" si="1"/>
        <v>965093</v>
      </c>
      <c r="H120" s="218" t="s">
        <v>192</v>
      </c>
      <c r="I120" s="220" t="s">
        <v>1054</v>
      </c>
    </row>
    <row r="121" spans="1:9">
      <c r="A121" s="267">
        <v>45741</v>
      </c>
      <c r="B121" s="218" t="s">
        <v>351</v>
      </c>
      <c r="C121" s="268" t="s">
        <v>127</v>
      </c>
      <c r="D121" s="77"/>
      <c r="E121" s="306">
        <v>25000</v>
      </c>
      <c r="F121" s="306"/>
      <c r="G121" s="309">
        <f t="shared" si="1"/>
        <v>940093</v>
      </c>
      <c r="H121" s="218" t="s">
        <v>351</v>
      </c>
      <c r="I121" s="220" t="s">
        <v>1055</v>
      </c>
    </row>
    <row r="122" spans="1:9">
      <c r="A122" s="267">
        <v>45741</v>
      </c>
      <c r="B122" s="218" t="s">
        <v>351</v>
      </c>
      <c r="C122" s="268" t="s">
        <v>127</v>
      </c>
      <c r="D122" s="77"/>
      <c r="E122" s="306">
        <v>10000</v>
      </c>
      <c r="F122" s="306"/>
      <c r="G122" s="309">
        <f t="shared" si="1"/>
        <v>930093</v>
      </c>
      <c r="H122" s="218" t="s">
        <v>351</v>
      </c>
      <c r="I122" s="220" t="s">
        <v>1056</v>
      </c>
    </row>
    <row r="123" spans="1:9">
      <c r="A123" s="267">
        <v>45741</v>
      </c>
      <c r="B123" s="218" t="s">
        <v>506</v>
      </c>
      <c r="C123" s="218" t="s">
        <v>127</v>
      </c>
      <c r="D123" s="77"/>
      <c r="E123" s="306">
        <v>112000</v>
      </c>
      <c r="F123" s="306"/>
      <c r="G123" s="309">
        <f t="shared" si="1"/>
        <v>818093</v>
      </c>
      <c r="H123" s="218" t="s">
        <v>506</v>
      </c>
      <c r="I123" s="220" t="s">
        <v>1057</v>
      </c>
    </row>
    <row r="124" spans="1:9">
      <c r="A124" s="267">
        <v>45741</v>
      </c>
      <c r="B124" s="218" t="s">
        <v>966</v>
      </c>
      <c r="C124" s="218" t="s">
        <v>127</v>
      </c>
      <c r="D124" s="77"/>
      <c r="E124" s="306">
        <v>112000</v>
      </c>
      <c r="F124" s="308"/>
      <c r="G124" s="309">
        <f t="shared" si="1"/>
        <v>706093</v>
      </c>
      <c r="H124" s="218" t="s">
        <v>967</v>
      </c>
      <c r="I124" s="220" t="s">
        <v>1058</v>
      </c>
    </row>
    <row r="125" spans="1:9">
      <c r="A125" s="267">
        <v>45741</v>
      </c>
      <c r="B125" s="302" t="s">
        <v>195</v>
      </c>
      <c r="C125" s="302" t="s">
        <v>127</v>
      </c>
      <c r="D125" s="77"/>
      <c r="E125" s="306">
        <v>110000</v>
      </c>
      <c r="F125" s="308"/>
      <c r="G125" s="309">
        <f t="shared" si="1"/>
        <v>596093</v>
      </c>
      <c r="H125" s="218" t="s">
        <v>195</v>
      </c>
      <c r="I125" s="220" t="s">
        <v>1059</v>
      </c>
    </row>
    <row r="126" spans="1:9">
      <c r="A126" s="267">
        <v>45741</v>
      </c>
      <c r="B126" s="218" t="s">
        <v>198</v>
      </c>
      <c r="C126" s="218" t="s">
        <v>127</v>
      </c>
      <c r="D126" s="77"/>
      <c r="E126" s="306">
        <v>35000</v>
      </c>
      <c r="F126" s="308"/>
      <c r="G126" s="309">
        <f t="shared" si="1"/>
        <v>561093</v>
      </c>
      <c r="H126" s="218" t="s">
        <v>198</v>
      </c>
      <c r="I126" s="220" t="s">
        <v>1060</v>
      </c>
    </row>
    <row r="127" spans="1:9">
      <c r="A127" s="267">
        <v>45741</v>
      </c>
      <c r="B127" s="218" t="s">
        <v>223</v>
      </c>
      <c r="C127" s="218" t="s">
        <v>127</v>
      </c>
      <c r="D127" s="77"/>
      <c r="E127" s="306">
        <v>25000</v>
      </c>
      <c r="F127" s="306"/>
      <c r="G127" s="309">
        <f t="shared" si="1"/>
        <v>536093</v>
      </c>
      <c r="H127" s="218" t="s">
        <v>223</v>
      </c>
      <c r="I127" s="220" t="s">
        <v>1061</v>
      </c>
    </row>
    <row r="128" spans="1:9">
      <c r="A128" s="267">
        <v>45741</v>
      </c>
      <c r="B128" s="77" t="s">
        <v>980</v>
      </c>
      <c r="C128" s="218" t="s">
        <v>189</v>
      </c>
      <c r="D128" s="77" t="s">
        <v>121</v>
      </c>
      <c r="E128" s="306">
        <v>11820</v>
      </c>
      <c r="F128" s="306"/>
      <c r="G128" s="309">
        <f t="shared" si="1"/>
        <v>524273</v>
      </c>
      <c r="H128" s="218" t="s">
        <v>351</v>
      </c>
      <c r="I128" s="220" t="s">
        <v>1117</v>
      </c>
    </row>
    <row r="129" spans="1:9">
      <c r="A129" s="267">
        <v>45741</v>
      </c>
      <c r="B129" s="218" t="s">
        <v>989</v>
      </c>
      <c r="C129" s="218" t="s">
        <v>176</v>
      </c>
      <c r="D129" s="77" t="s">
        <v>121</v>
      </c>
      <c r="E129" s="306">
        <v>25000</v>
      </c>
      <c r="F129" s="306"/>
      <c r="G129" s="309">
        <f t="shared" si="1"/>
        <v>499273</v>
      </c>
      <c r="H129" s="218" t="s">
        <v>201</v>
      </c>
      <c r="I129" s="220" t="s">
        <v>1118</v>
      </c>
    </row>
    <row r="130" spans="1:9">
      <c r="A130" s="267">
        <v>45742</v>
      </c>
      <c r="B130" s="77" t="s">
        <v>708</v>
      </c>
      <c r="C130" s="218" t="s">
        <v>324</v>
      </c>
      <c r="D130" s="77" t="s">
        <v>121</v>
      </c>
      <c r="E130" s="306">
        <v>20000</v>
      </c>
      <c r="F130" s="306"/>
      <c r="G130" s="309">
        <f t="shared" si="1"/>
        <v>479273</v>
      </c>
      <c r="H130" s="218" t="s">
        <v>673</v>
      </c>
      <c r="I130" s="220" t="s">
        <v>1119</v>
      </c>
    </row>
    <row r="131" spans="1:9">
      <c r="A131" s="219">
        <v>45742</v>
      </c>
      <c r="B131" s="218" t="s">
        <v>990</v>
      </c>
      <c r="C131" s="268" t="s">
        <v>337</v>
      </c>
      <c r="D131" s="218" t="s">
        <v>123</v>
      </c>
      <c r="E131" s="306">
        <v>200000</v>
      </c>
      <c r="F131" s="306"/>
      <c r="G131" s="309">
        <f t="shared" si="1"/>
        <v>279273</v>
      </c>
      <c r="H131" s="218" t="s">
        <v>223</v>
      </c>
      <c r="I131" s="218" t="s">
        <v>1138</v>
      </c>
    </row>
    <row r="132" spans="1:9">
      <c r="A132" s="267">
        <v>45744</v>
      </c>
      <c r="B132" s="77" t="s">
        <v>991</v>
      </c>
      <c r="C132" s="77" t="s">
        <v>324</v>
      </c>
      <c r="D132" s="77" t="s">
        <v>121</v>
      </c>
      <c r="E132" s="306">
        <v>8000</v>
      </c>
      <c r="F132" s="306"/>
      <c r="G132" s="309">
        <f t="shared" ref="G132:G145" si="2">+G131+F132-E132</f>
        <v>271273</v>
      </c>
      <c r="H132" s="77" t="s">
        <v>673</v>
      </c>
      <c r="I132" s="220" t="s">
        <v>1120</v>
      </c>
    </row>
    <row r="133" spans="1:9">
      <c r="A133" s="219">
        <v>45744</v>
      </c>
      <c r="B133" s="218" t="s">
        <v>506</v>
      </c>
      <c r="C133" s="218" t="s">
        <v>127</v>
      </c>
      <c r="D133" s="218"/>
      <c r="E133" s="306">
        <v>277500</v>
      </c>
      <c r="F133" s="306"/>
      <c r="G133" s="309">
        <f t="shared" si="2"/>
        <v>-6227</v>
      </c>
      <c r="H133" s="218" t="s">
        <v>506</v>
      </c>
      <c r="I133" s="220" t="s">
        <v>1062</v>
      </c>
    </row>
    <row r="134" spans="1:9">
      <c r="A134" s="219">
        <v>45744</v>
      </c>
      <c r="B134" s="218" t="s">
        <v>966</v>
      </c>
      <c r="C134" s="218" t="s">
        <v>127</v>
      </c>
      <c r="D134" s="218"/>
      <c r="E134" s="306">
        <v>25000</v>
      </c>
      <c r="F134" s="306"/>
      <c r="G134" s="309">
        <f t="shared" si="2"/>
        <v>-31227</v>
      </c>
      <c r="H134" s="218" t="s">
        <v>967</v>
      </c>
      <c r="I134" s="220" t="s">
        <v>1063</v>
      </c>
    </row>
    <row r="135" spans="1:9">
      <c r="A135" s="219">
        <v>45744</v>
      </c>
      <c r="B135" s="77" t="s">
        <v>992</v>
      </c>
      <c r="C135" s="218" t="s">
        <v>189</v>
      </c>
      <c r="D135" s="218" t="s">
        <v>121</v>
      </c>
      <c r="E135" s="306">
        <v>8825</v>
      </c>
      <c r="F135" s="306"/>
      <c r="G135" s="309">
        <f t="shared" si="2"/>
        <v>-40052</v>
      </c>
      <c r="H135" s="218" t="s">
        <v>198</v>
      </c>
      <c r="I135" s="220" t="s">
        <v>1121</v>
      </c>
    </row>
    <row r="136" spans="1:9">
      <c r="A136" s="219">
        <v>45744</v>
      </c>
      <c r="B136" s="77" t="s">
        <v>993</v>
      </c>
      <c r="C136" s="77" t="s">
        <v>324</v>
      </c>
      <c r="D136" s="77" t="s">
        <v>121</v>
      </c>
      <c r="E136" s="309">
        <v>75625</v>
      </c>
      <c r="F136" s="311"/>
      <c r="G136" s="309">
        <f t="shared" si="2"/>
        <v>-115677</v>
      </c>
      <c r="H136" s="77" t="s">
        <v>673</v>
      </c>
      <c r="I136" s="220" t="s">
        <v>1122</v>
      </c>
    </row>
    <row r="137" spans="1:9">
      <c r="A137" s="219">
        <v>45744</v>
      </c>
      <c r="B137" s="77" t="s">
        <v>994</v>
      </c>
      <c r="C137" s="77" t="s">
        <v>127</v>
      </c>
      <c r="D137" s="77"/>
      <c r="E137" s="309"/>
      <c r="F137" s="311">
        <v>2000000</v>
      </c>
      <c r="G137" s="309">
        <f t="shared" si="2"/>
        <v>1884323</v>
      </c>
      <c r="H137" s="77" t="s">
        <v>151</v>
      </c>
      <c r="I137" s="220" t="s">
        <v>1064</v>
      </c>
    </row>
    <row r="138" spans="1:9">
      <c r="A138" s="219">
        <v>45744</v>
      </c>
      <c r="B138" s="218" t="s">
        <v>990</v>
      </c>
      <c r="C138" s="77" t="s">
        <v>337</v>
      </c>
      <c r="D138" s="77" t="s">
        <v>123</v>
      </c>
      <c r="E138" s="309">
        <v>154000</v>
      </c>
      <c r="F138" s="311"/>
      <c r="G138" s="309">
        <f t="shared" si="2"/>
        <v>1730323</v>
      </c>
      <c r="H138" s="77" t="s">
        <v>223</v>
      </c>
      <c r="I138" s="218" t="s">
        <v>1139</v>
      </c>
    </row>
    <row r="139" spans="1:9">
      <c r="A139" s="219">
        <v>45744</v>
      </c>
      <c r="B139" s="77" t="s">
        <v>198</v>
      </c>
      <c r="C139" s="77" t="s">
        <v>127</v>
      </c>
      <c r="D139" s="77"/>
      <c r="E139" s="309">
        <v>20000</v>
      </c>
      <c r="F139" s="303"/>
      <c r="G139" s="309">
        <f t="shared" si="2"/>
        <v>1710323</v>
      </c>
      <c r="H139" s="77" t="s">
        <v>198</v>
      </c>
      <c r="I139" s="220" t="s">
        <v>1065</v>
      </c>
    </row>
    <row r="140" spans="1:9">
      <c r="A140" s="219">
        <v>45747</v>
      </c>
      <c r="B140" s="77" t="s">
        <v>223</v>
      </c>
      <c r="C140" s="77" t="s">
        <v>127</v>
      </c>
      <c r="D140" s="77"/>
      <c r="E140" s="309">
        <v>20000</v>
      </c>
      <c r="F140" s="304"/>
      <c r="G140" s="309">
        <f t="shared" si="2"/>
        <v>1690323</v>
      </c>
      <c r="H140" s="77" t="s">
        <v>223</v>
      </c>
      <c r="I140" s="220" t="s">
        <v>1066</v>
      </c>
    </row>
    <row r="141" spans="1:9">
      <c r="A141" s="219">
        <v>45747</v>
      </c>
      <c r="B141" s="218" t="s">
        <v>995</v>
      </c>
      <c r="C141" s="218" t="s">
        <v>717</v>
      </c>
      <c r="D141" s="218" t="s">
        <v>121</v>
      </c>
      <c r="E141" s="309">
        <v>45050</v>
      </c>
      <c r="F141" s="311"/>
      <c r="G141" s="309">
        <f t="shared" si="2"/>
        <v>1645273</v>
      </c>
      <c r="H141" s="77" t="s">
        <v>673</v>
      </c>
      <c r="I141" s="220" t="s">
        <v>1123</v>
      </c>
    </row>
    <row r="142" spans="1:9">
      <c r="A142" s="219">
        <v>45747</v>
      </c>
      <c r="B142" s="77" t="s">
        <v>351</v>
      </c>
      <c r="C142" s="77" t="s">
        <v>127</v>
      </c>
      <c r="D142" s="77"/>
      <c r="E142" s="309">
        <v>28000</v>
      </c>
      <c r="F142" s="311"/>
      <c r="G142" s="309">
        <f t="shared" si="2"/>
        <v>1617273</v>
      </c>
      <c r="H142" s="77" t="s">
        <v>351</v>
      </c>
      <c r="I142" s="220" t="s">
        <v>1067</v>
      </c>
    </row>
    <row r="143" spans="1:9">
      <c r="A143" s="219">
        <v>45747</v>
      </c>
      <c r="B143" s="77" t="s">
        <v>506</v>
      </c>
      <c r="C143" s="77" t="s">
        <v>127</v>
      </c>
      <c r="D143" s="77"/>
      <c r="E143" s="309">
        <v>185000</v>
      </c>
      <c r="F143" s="311"/>
      <c r="G143" s="309">
        <f t="shared" si="2"/>
        <v>1432273</v>
      </c>
      <c r="H143" s="77" t="s">
        <v>506</v>
      </c>
      <c r="I143" s="220" t="s">
        <v>1068</v>
      </c>
    </row>
    <row r="144" spans="1:9">
      <c r="A144" s="219">
        <v>45747</v>
      </c>
      <c r="B144" s="77" t="s">
        <v>966</v>
      </c>
      <c r="C144" s="77" t="s">
        <v>127</v>
      </c>
      <c r="D144" s="77"/>
      <c r="E144" s="309">
        <v>189000</v>
      </c>
      <c r="F144" s="311"/>
      <c r="G144" s="309">
        <f t="shared" si="2"/>
        <v>1243273</v>
      </c>
      <c r="H144" s="77" t="s">
        <v>967</v>
      </c>
      <c r="I144" s="220" t="s">
        <v>1069</v>
      </c>
    </row>
    <row r="145" spans="1:9">
      <c r="A145" s="219">
        <v>45747</v>
      </c>
      <c r="B145" s="77" t="s">
        <v>996</v>
      </c>
      <c r="C145" s="77" t="s">
        <v>189</v>
      </c>
      <c r="D145" s="77" t="s">
        <v>121</v>
      </c>
      <c r="E145" s="309">
        <v>16890</v>
      </c>
      <c r="F145" s="311"/>
      <c r="G145" s="309">
        <f t="shared" si="2"/>
        <v>1226383</v>
      </c>
      <c r="H145" s="77" t="s">
        <v>201</v>
      </c>
      <c r="I145" s="220" t="s">
        <v>1124</v>
      </c>
    </row>
  </sheetData>
  <autoFilter ref="A1:J145" xr:uid="{00000000-0009-0000-0000-000006000000}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'C:\Users\merve\Desktop\Mars 2025\[Fichier comptable-Juriste Abraham.xlsx]Feuil1'!#REF!</xm:f>
          </x14:formula1>
          <xm:sqref>C145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02"/>
  <sheetViews>
    <sheetView topLeftCell="B1" zoomScaleNormal="100" workbookViewId="0">
      <selection activeCell="V63" sqref="V63"/>
    </sheetView>
  </sheetViews>
  <sheetFormatPr baseColWidth="10" defaultColWidth="8.796875" defaultRowHeight="13.8"/>
  <cols>
    <col min="1" max="1" width="13.09765625" customWidth="1"/>
    <col min="2" max="2" width="7.59765625" customWidth="1"/>
    <col min="3" max="3" width="51.796875" customWidth="1"/>
    <col min="4" max="5" width="18.19921875" customWidth="1"/>
  </cols>
  <sheetData>
    <row r="1" spans="1:5">
      <c r="A1" s="91" t="s">
        <v>32</v>
      </c>
      <c r="B1" s="92"/>
      <c r="C1" s="92"/>
      <c r="D1" s="92"/>
      <c r="E1" s="92"/>
    </row>
    <row r="2" spans="1:5">
      <c r="A2" s="93" t="s">
        <v>33</v>
      </c>
      <c r="B2" s="93" t="s">
        <v>100</v>
      </c>
      <c r="C2" s="93"/>
      <c r="D2" s="94"/>
      <c r="E2" s="93"/>
    </row>
    <row r="3" spans="1:5">
      <c r="A3" s="93" t="s">
        <v>34</v>
      </c>
      <c r="B3" s="200">
        <v>45717</v>
      </c>
      <c r="C3" s="95"/>
      <c r="D3" s="93"/>
      <c r="E3" s="93"/>
    </row>
    <row r="4" spans="1:5">
      <c r="A4" s="93"/>
      <c r="B4" s="93"/>
      <c r="C4" s="93"/>
      <c r="D4" s="93"/>
      <c r="E4" s="93"/>
    </row>
    <row r="5" spans="1:5">
      <c r="A5" s="93" t="s">
        <v>35</v>
      </c>
      <c r="B5" s="93"/>
      <c r="C5" s="93"/>
      <c r="D5" s="93"/>
      <c r="E5" s="93"/>
    </row>
    <row r="6" spans="1:5" ht="14.4" thickBot="1">
      <c r="A6" s="97" t="s">
        <v>54</v>
      </c>
      <c r="B6" s="97"/>
      <c r="C6" s="97"/>
      <c r="D6" s="97"/>
      <c r="E6" s="97"/>
    </row>
    <row r="7" spans="1:5" ht="14.4" thickBot="1">
      <c r="A7" s="412" t="s">
        <v>36</v>
      </c>
      <c r="B7" s="413"/>
      <c r="C7" s="413"/>
      <c r="D7" s="413"/>
      <c r="E7" s="414"/>
    </row>
    <row r="8" spans="1:5" ht="14.4" thickBot="1">
      <c r="A8" s="98"/>
      <c r="B8" s="99"/>
      <c r="C8" s="99"/>
      <c r="D8" s="100"/>
      <c r="E8" s="101"/>
    </row>
    <row r="9" spans="1:5">
      <c r="A9" s="102" t="s">
        <v>0</v>
      </c>
      <c r="B9" s="103" t="s">
        <v>37</v>
      </c>
      <c r="C9" s="104" t="s">
        <v>38</v>
      </c>
      <c r="D9" s="105" t="s">
        <v>39</v>
      </c>
      <c r="E9" s="106" t="s">
        <v>40</v>
      </c>
    </row>
    <row r="10" spans="1:5">
      <c r="A10" s="107"/>
      <c r="B10" s="108"/>
      <c r="C10" s="109" t="s">
        <v>41</v>
      </c>
      <c r="D10" s="110"/>
      <c r="E10" s="111"/>
    </row>
    <row r="11" spans="1:5" ht="14.4">
      <c r="A11" s="201">
        <v>45717</v>
      </c>
      <c r="B11" s="261" t="s">
        <v>101</v>
      </c>
      <c r="C11" s="202" t="s">
        <v>1140</v>
      </c>
      <c r="D11" s="262">
        <v>5936479</v>
      </c>
      <c r="E11" s="263"/>
    </row>
    <row r="12" spans="1:5" ht="14.4">
      <c r="A12" s="201">
        <v>45719</v>
      </c>
      <c r="B12" s="261">
        <v>3654804</v>
      </c>
      <c r="C12" s="198" t="s">
        <v>574</v>
      </c>
      <c r="D12" s="204"/>
      <c r="E12" s="206">
        <v>500000</v>
      </c>
    </row>
    <row r="13" spans="1:5" ht="14.4">
      <c r="A13" s="201">
        <v>45719</v>
      </c>
      <c r="B13" s="261">
        <v>3654808</v>
      </c>
      <c r="C13" s="203" t="s">
        <v>1141</v>
      </c>
      <c r="D13" s="204"/>
      <c r="E13" s="207">
        <v>200000</v>
      </c>
    </row>
    <row r="14" spans="1:5" ht="14.4">
      <c r="A14" s="201">
        <v>45719</v>
      </c>
      <c r="B14" s="261">
        <v>3654809</v>
      </c>
      <c r="C14" s="203" t="s">
        <v>1142</v>
      </c>
      <c r="D14" s="204"/>
      <c r="E14" s="207">
        <v>200000</v>
      </c>
    </row>
    <row r="15" spans="1:5" ht="14.4">
      <c r="A15" s="201">
        <v>45719</v>
      </c>
      <c r="B15" s="261">
        <v>3654807</v>
      </c>
      <c r="C15" s="203" t="s">
        <v>1143</v>
      </c>
      <c r="D15" s="204"/>
      <c r="E15" s="206">
        <v>200000</v>
      </c>
    </row>
    <row r="16" spans="1:5" ht="14.4">
      <c r="A16" s="201">
        <v>45719</v>
      </c>
      <c r="B16" s="261" t="s">
        <v>1185</v>
      </c>
      <c r="C16" s="203" t="s">
        <v>1144</v>
      </c>
      <c r="D16" s="204"/>
      <c r="E16" s="206">
        <v>551482</v>
      </c>
    </row>
    <row r="17" spans="1:5" ht="14.4">
      <c r="A17" s="201">
        <v>45719</v>
      </c>
      <c r="B17" s="261" t="s">
        <v>1185</v>
      </c>
      <c r="C17" s="203" t="s">
        <v>1145</v>
      </c>
      <c r="D17" s="204"/>
      <c r="E17" s="206">
        <v>384789</v>
      </c>
    </row>
    <row r="18" spans="1:5" ht="14.4">
      <c r="A18" s="260">
        <v>45719</v>
      </c>
      <c r="B18" s="261" t="s">
        <v>1185</v>
      </c>
      <c r="C18" s="272" t="s">
        <v>1146</v>
      </c>
      <c r="D18" s="263"/>
      <c r="E18" s="263">
        <v>238140</v>
      </c>
    </row>
    <row r="19" spans="1:5" ht="14.4">
      <c r="A19" s="201">
        <v>45719</v>
      </c>
      <c r="B19" s="261">
        <v>3654813</v>
      </c>
      <c r="C19" s="203" t="s">
        <v>1147</v>
      </c>
      <c r="D19" s="206"/>
      <c r="E19" s="206">
        <v>405000</v>
      </c>
    </row>
    <row r="20" spans="1:5" ht="14.4">
      <c r="A20" s="201">
        <v>45719</v>
      </c>
      <c r="B20" s="261">
        <v>3654814</v>
      </c>
      <c r="C20" s="203" t="s">
        <v>1148</v>
      </c>
      <c r="D20" s="204"/>
      <c r="E20" s="206">
        <v>460000</v>
      </c>
    </row>
    <row r="21" spans="1:5" ht="14.4">
      <c r="A21" s="201">
        <v>45719</v>
      </c>
      <c r="B21" s="261">
        <v>3654815</v>
      </c>
      <c r="C21" s="203" t="s">
        <v>1149</v>
      </c>
      <c r="D21" s="204"/>
      <c r="E21" s="206">
        <v>255000</v>
      </c>
    </row>
    <row r="22" spans="1:5" ht="14.4">
      <c r="A22" s="201">
        <v>45719</v>
      </c>
      <c r="B22" s="261">
        <v>3654816</v>
      </c>
      <c r="C22" s="203" t="s">
        <v>1150</v>
      </c>
      <c r="D22" s="204"/>
      <c r="E22" s="206">
        <v>255000</v>
      </c>
    </row>
    <row r="23" spans="1:5" ht="14.4">
      <c r="A23" s="201">
        <v>45719</v>
      </c>
      <c r="B23" s="261">
        <v>3654817</v>
      </c>
      <c r="C23" s="198" t="s">
        <v>1151</v>
      </c>
      <c r="D23" s="204"/>
      <c r="E23" s="206">
        <v>260000</v>
      </c>
    </row>
    <row r="24" spans="1:5" ht="26.4">
      <c r="A24" s="201">
        <v>45719</v>
      </c>
      <c r="B24" s="261">
        <v>3654806</v>
      </c>
      <c r="C24" s="276" t="s">
        <v>1153</v>
      </c>
      <c r="D24" s="204"/>
      <c r="E24" s="206">
        <v>300000</v>
      </c>
    </row>
    <row r="25" spans="1:5" ht="14.4">
      <c r="A25" s="201">
        <v>45720</v>
      </c>
      <c r="B25" s="261">
        <v>3654821</v>
      </c>
      <c r="C25" s="203" t="s">
        <v>1154</v>
      </c>
      <c r="D25" s="204"/>
      <c r="E25" s="206">
        <v>1500000</v>
      </c>
    </row>
    <row r="26" spans="1:5" ht="14.4">
      <c r="A26" s="201">
        <v>45723</v>
      </c>
      <c r="B26" s="261" t="s">
        <v>101</v>
      </c>
      <c r="C26" s="203" t="s">
        <v>1155</v>
      </c>
      <c r="D26" s="204">
        <v>17389380</v>
      </c>
      <c r="E26" s="206"/>
    </row>
    <row r="27" spans="1:5" ht="14.4">
      <c r="A27" s="201">
        <v>45723</v>
      </c>
      <c r="B27" s="261" t="s">
        <v>101</v>
      </c>
      <c r="C27" s="203" t="s">
        <v>1156</v>
      </c>
      <c r="D27" s="204">
        <v>2898230</v>
      </c>
      <c r="E27" s="206"/>
    </row>
    <row r="28" spans="1:5" ht="14.4">
      <c r="A28" s="201">
        <v>45726</v>
      </c>
      <c r="B28" s="261">
        <v>3654793</v>
      </c>
      <c r="C28" s="199" t="s">
        <v>1157</v>
      </c>
      <c r="D28" s="204"/>
      <c r="E28" s="206">
        <v>150000</v>
      </c>
    </row>
    <row r="29" spans="1:5" ht="14.4">
      <c r="A29" s="201">
        <v>45726</v>
      </c>
      <c r="B29" s="261">
        <v>3654820</v>
      </c>
      <c r="C29" s="199" t="s">
        <v>1158</v>
      </c>
      <c r="D29" s="204"/>
      <c r="E29" s="206">
        <v>150000</v>
      </c>
    </row>
    <row r="30" spans="1:5" ht="14.4">
      <c r="A30" s="201">
        <v>45726</v>
      </c>
      <c r="B30" s="261">
        <v>3654812</v>
      </c>
      <c r="C30" s="203" t="s">
        <v>1159</v>
      </c>
      <c r="D30" s="204"/>
      <c r="E30" s="206">
        <v>1311000</v>
      </c>
    </row>
    <row r="31" spans="1:5" ht="14.4">
      <c r="A31" s="201">
        <v>45726</v>
      </c>
      <c r="B31" s="261">
        <v>3654818</v>
      </c>
      <c r="C31" s="203" t="s">
        <v>1160</v>
      </c>
      <c r="D31" s="204"/>
      <c r="E31" s="206">
        <v>2000000</v>
      </c>
    </row>
    <row r="32" spans="1:5" ht="14.4">
      <c r="A32" s="201">
        <v>45727</v>
      </c>
      <c r="B32" s="261" t="s">
        <v>1185</v>
      </c>
      <c r="C32" s="273" t="s">
        <v>1161</v>
      </c>
      <c r="D32" s="204"/>
      <c r="E32" s="206">
        <v>2107400</v>
      </c>
    </row>
    <row r="33" spans="1:5" ht="14.4">
      <c r="A33" s="201">
        <v>45727</v>
      </c>
      <c r="B33" s="261" t="s">
        <v>1185</v>
      </c>
      <c r="C33" s="273" t="s">
        <v>1163</v>
      </c>
      <c r="D33" s="204"/>
      <c r="E33" s="206">
        <v>398693</v>
      </c>
    </row>
    <row r="34" spans="1:5" ht="14.4">
      <c r="A34" s="201">
        <v>45730</v>
      </c>
      <c r="B34" s="261">
        <v>3654822</v>
      </c>
      <c r="C34" s="199" t="s">
        <v>1165</v>
      </c>
      <c r="D34" s="204"/>
      <c r="E34" s="206">
        <v>300000</v>
      </c>
    </row>
    <row r="35" spans="1:5" ht="14.4">
      <c r="A35" s="201">
        <v>45730</v>
      </c>
      <c r="B35" s="261">
        <v>3654823</v>
      </c>
      <c r="C35" s="199" t="s">
        <v>1166</v>
      </c>
      <c r="D35" s="204"/>
      <c r="E35" s="206">
        <v>200000</v>
      </c>
    </row>
    <row r="36" spans="1:5" ht="14.4">
      <c r="A36" s="201">
        <v>45734</v>
      </c>
      <c r="B36" s="261">
        <v>3654838</v>
      </c>
      <c r="C36" s="273" t="s">
        <v>1167</v>
      </c>
      <c r="D36" s="204"/>
      <c r="E36" s="206">
        <v>2000000</v>
      </c>
    </row>
    <row r="37" spans="1:5" ht="14.4">
      <c r="A37" s="201">
        <v>45737</v>
      </c>
      <c r="B37" s="261">
        <v>3654826</v>
      </c>
      <c r="C37" s="273" t="s">
        <v>1186</v>
      </c>
      <c r="D37" s="204"/>
      <c r="E37" s="206">
        <v>2000000</v>
      </c>
    </row>
    <row r="38" spans="1:5" ht="14.4">
      <c r="A38" s="201">
        <v>45741</v>
      </c>
      <c r="B38" s="261">
        <v>3654835</v>
      </c>
      <c r="C38" s="203" t="s">
        <v>1169</v>
      </c>
      <c r="D38" s="204"/>
      <c r="E38" s="206">
        <v>1311000</v>
      </c>
    </row>
    <row r="39" spans="1:5" ht="14.4">
      <c r="A39" s="201">
        <v>45741</v>
      </c>
      <c r="B39" s="261">
        <v>3654831</v>
      </c>
      <c r="C39" s="203" t="s">
        <v>1187</v>
      </c>
      <c r="D39" s="204"/>
      <c r="E39" s="206">
        <v>230000</v>
      </c>
    </row>
    <row r="40" spans="1:5" ht="14.4">
      <c r="A40" s="201">
        <v>45741</v>
      </c>
      <c r="B40" s="261">
        <v>3654825</v>
      </c>
      <c r="C40" s="203" t="s">
        <v>1171</v>
      </c>
      <c r="D40" s="204"/>
      <c r="E40" s="206">
        <v>200000</v>
      </c>
    </row>
    <row r="41" spans="1:5" ht="14.4">
      <c r="A41" s="201">
        <v>45741</v>
      </c>
      <c r="B41" s="261">
        <v>3654824</v>
      </c>
      <c r="C41" s="203" t="s">
        <v>1172</v>
      </c>
      <c r="D41" s="204"/>
      <c r="E41" s="206">
        <v>200000</v>
      </c>
    </row>
    <row r="42" spans="1:5" ht="14.4">
      <c r="A42" s="201">
        <v>45741</v>
      </c>
      <c r="B42" s="261">
        <v>3654832</v>
      </c>
      <c r="C42" s="203" t="s">
        <v>1173</v>
      </c>
      <c r="D42" s="204"/>
      <c r="E42" s="206">
        <v>200000</v>
      </c>
    </row>
    <row r="43" spans="1:5" ht="14.4">
      <c r="A43" s="201">
        <v>45741</v>
      </c>
      <c r="B43" s="261" t="s">
        <v>1185</v>
      </c>
      <c r="C43" s="203" t="s">
        <v>1174</v>
      </c>
      <c r="D43" s="204"/>
      <c r="E43" s="206">
        <v>551482</v>
      </c>
    </row>
    <row r="44" spans="1:5" ht="14.4">
      <c r="A44" s="201">
        <v>45741</v>
      </c>
      <c r="B44" s="261" t="s">
        <v>1185</v>
      </c>
      <c r="C44" s="272" t="s">
        <v>1175</v>
      </c>
      <c r="D44" s="204"/>
      <c r="E44" s="206">
        <v>238140</v>
      </c>
    </row>
    <row r="45" spans="1:5" ht="14.4">
      <c r="A45" s="201">
        <v>45741</v>
      </c>
      <c r="B45" s="261" t="s">
        <v>1185</v>
      </c>
      <c r="C45" s="272" t="s">
        <v>1176</v>
      </c>
      <c r="D45" s="204"/>
      <c r="E45" s="206">
        <v>193548</v>
      </c>
    </row>
    <row r="46" spans="1:5" ht="14.4">
      <c r="A46" s="201">
        <v>45741</v>
      </c>
      <c r="B46" s="261">
        <v>3654830</v>
      </c>
      <c r="C46" s="264" t="s">
        <v>1177</v>
      </c>
      <c r="D46" s="204"/>
      <c r="E46" s="206">
        <v>500000</v>
      </c>
    </row>
    <row r="47" spans="1:5" ht="14.4">
      <c r="A47" s="201">
        <v>45744</v>
      </c>
      <c r="B47" s="261">
        <v>3654836</v>
      </c>
      <c r="C47" s="273" t="s">
        <v>1179</v>
      </c>
      <c r="D47" s="204"/>
      <c r="E47" s="206">
        <v>2000000</v>
      </c>
    </row>
    <row r="48" spans="1:5" ht="14.4">
      <c r="A48" s="201">
        <v>45744</v>
      </c>
      <c r="B48" s="261">
        <v>3654837</v>
      </c>
      <c r="C48" s="203" t="s">
        <v>1180</v>
      </c>
      <c r="D48" s="204"/>
      <c r="E48" s="206">
        <v>500000</v>
      </c>
    </row>
    <row r="49" spans="1:5" ht="14.4">
      <c r="A49" s="201">
        <v>45744</v>
      </c>
      <c r="B49" s="261">
        <v>3654833</v>
      </c>
      <c r="C49" s="203" t="s">
        <v>1181</v>
      </c>
      <c r="D49" s="204"/>
      <c r="E49" s="206">
        <v>375000</v>
      </c>
    </row>
    <row r="50" spans="1:5" ht="14.4">
      <c r="A50" s="201">
        <v>45747</v>
      </c>
      <c r="B50" s="261">
        <v>3654829</v>
      </c>
      <c r="C50" s="203" t="s">
        <v>1182</v>
      </c>
      <c r="D50" s="204"/>
      <c r="E50" s="206">
        <v>255000</v>
      </c>
    </row>
    <row r="51" spans="1:5" ht="14.4">
      <c r="A51" s="201">
        <v>45747</v>
      </c>
      <c r="B51" s="261">
        <v>3654827</v>
      </c>
      <c r="C51" s="203" t="s">
        <v>1183</v>
      </c>
      <c r="D51" s="204"/>
      <c r="E51" s="206">
        <v>255000</v>
      </c>
    </row>
    <row r="52" spans="1:5" ht="15" thickBot="1">
      <c r="A52" s="201">
        <v>45747</v>
      </c>
      <c r="B52" s="261">
        <v>3654828</v>
      </c>
      <c r="C52" s="198" t="s">
        <v>1184</v>
      </c>
      <c r="D52" s="204"/>
      <c r="E52" s="206">
        <v>260000</v>
      </c>
    </row>
    <row r="53" spans="1:5" ht="14.4" thickBot="1">
      <c r="A53" s="112"/>
      <c r="B53" s="113"/>
      <c r="C53" s="114" t="s">
        <v>42</v>
      </c>
      <c r="D53" s="115">
        <f>SUM(D10:D52)-SUM(E10:E52)</f>
        <v>2628415</v>
      </c>
      <c r="E53" s="116"/>
    </row>
    <row r="54" spans="1:5" ht="14.4" thickBot="1">
      <c r="A54" s="117"/>
      <c r="B54" s="118"/>
      <c r="C54" s="118"/>
      <c r="D54" s="118"/>
      <c r="E54" s="119"/>
    </row>
    <row r="55" spans="1:5">
      <c r="A55" s="96"/>
      <c r="B55" s="93"/>
      <c r="C55" s="93" t="s">
        <v>43</v>
      </c>
      <c r="D55" s="96"/>
      <c r="E55" s="96"/>
    </row>
    <row r="56" spans="1:5">
      <c r="A56" s="96"/>
      <c r="B56" s="93"/>
      <c r="C56" s="93"/>
      <c r="D56" s="96"/>
      <c r="E56" s="120"/>
    </row>
    <row r="57" spans="1:5">
      <c r="A57" s="121"/>
      <c r="B57" s="121"/>
      <c r="C57" s="122"/>
      <c r="D57" s="123"/>
      <c r="E57" s="124"/>
    </row>
    <row r="58" spans="1:5" ht="17.399999999999999">
      <c r="A58" s="125"/>
      <c r="B58" s="125"/>
      <c r="C58" s="126" t="s">
        <v>58</v>
      </c>
      <c r="D58" s="127"/>
      <c r="E58" s="127"/>
    </row>
    <row r="59" spans="1:5" ht="18" thickBot="1">
      <c r="A59" s="125"/>
      <c r="B59" s="125"/>
      <c r="C59" s="128"/>
      <c r="D59" s="127"/>
      <c r="E59" s="127"/>
    </row>
    <row r="60" spans="1:5">
      <c r="A60" s="125"/>
      <c r="B60" s="125"/>
      <c r="C60" s="415" t="s">
        <v>44</v>
      </c>
      <c r="D60" s="416"/>
      <c r="E60" s="417"/>
    </row>
    <row r="61" spans="1:5" ht="22.5" customHeight="1">
      <c r="A61" s="125"/>
      <c r="B61" s="125"/>
      <c r="C61" s="129" t="s">
        <v>98</v>
      </c>
      <c r="D61" s="418"/>
      <c r="E61" s="419"/>
    </row>
    <row r="62" spans="1:5">
      <c r="A62" s="130"/>
      <c r="B62" s="125"/>
      <c r="C62" s="131"/>
      <c r="D62" s="420"/>
      <c r="E62" s="421"/>
    </row>
    <row r="63" spans="1:5" ht="14.4" thickBot="1">
      <c r="A63" s="125"/>
      <c r="B63" s="125"/>
      <c r="C63" s="132" t="s">
        <v>99</v>
      </c>
      <c r="D63" s="422"/>
      <c r="E63" s="423"/>
    </row>
    <row r="64" spans="1:5" ht="14.4" thickBot="1">
      <c r="A64" s="125"/>
      <c r="B64" s="125"/>
      <c r="C64" s="125"/>
      <c r="D64" s="133"/>
      <c r="E64" s="133"/>
    </row>
    <row r="65" spans="1:5" ht="14.4" thickBot="1">
      <c r="A65" s="134" t="s">
        <v>0</v>
      </c>
      <c r="B65" s="135" t="s">
        <v>45</v>
      </c>
      <c r="C65" s="136" t="s">
        <v>1</v>
      </c>
      <c r="D65" s="137" t="s">
        <v>46</v>
      </c>
      <c r="E65" s="138"/>
    </row>
    <row r="66" spans="1:5">
      <c r="A66" s="139"/>
      <c r="B66" s="140"/>
      <c r="C66" s="141"/>
      <c r="D66" s="142"/>
      <c r="E66" s="143"/>
    </row>
    <row r="67" spans="1:5">
      <c r="A67" s="144"/>
      <c r="B67" s="145"/>
      <c r="C67" s="146" t="s">
        <v>55</v>
      </c>
      <c r="D67" s="143">
        <f>D53</f>
        <v>2628415</v>
      </c>
      <c r="E67" s="143"/>
    </row>
    <row r="68" spans="1:5">
      <c r="A68" s="144"/>
      <c r="B68" s="145"/>
      <c r="C68" s="147"/>
      <c r="D68" s="148"/>
      <c r="E68" s="143"/>
    </row>
    <row r="69" spans="1:5">
      <c r="A69" s="144"/>
      <c r="B69" s="145"/>
      <c r="C69" s="147" t="s">
        <v>47</v>
      </c>
      <c r="D69" s="148"/>
      <c r="E69" s="143"/>
    </row>
    <row r="70" spans="1:5">
      <c r="A70" s="144"/>
      <c r="B70" s="145"/>
      <c r="C70" s="146" t="s">
        <v>48</v>
      </c>
      <c r="D70" s="148"/>
      <c r="E70" s="143"/>
    </row>
    <row r="71" spans="1:5" ht="14.4">
      <c r="A71" s="201">
        <v>45741</v>
      </c>
      <c r="B71" s="197">
        <v>3654830</v>
      </c>
      <c r="C71" s="198" t="s">
        <v>1177</v>
      </c>
      <c r="D71" s="257">
        <v>500000</v>
      </c>
      <c r="E71" s="207"/>
    </row>
    <row r="72" spans="1:5" ht="14.4">
      <c r="A72" s="201">
        <v>45747</v>
      </c>
      <c r="B72" s="261">
        <v>3654828</v>
      </c>
      <c r="C72" s="198" t="s">
        <v>1184</v>
      </c>
      <c r="D72" s="257">
        <v>260000</v>
      </c>
      <c r="E72" s="206"/>
    </row>
    <row r="73" spans="1:5">
      <c r="A73" s="144"/>
      <c r="B73" s="197"/>
      <c r="C73" s="147" t="s">
        <v>49</v>
      </c>
      <c r="D73" s="148"/>
      <c r="E73" s="143"/>
    </row>
    <row r="74" spans="1:5">
      <c r="A74" s="144"/>
      <c r="B74" s="145"/>
      <c r="C74" s="146" t="s">
        <v>50</v>
      </c>
      <c r="D74" s="148"/>
      <c r="E74" s="143"/>
    </row>
    <row r="75" spans="1:5" ht="14.4">
      <c r="A75" s="201">
        <v>45719</v>
      </c>
      <c r="B75" s="261" t="s">
        <v>101</v>
      </c>
      <c r="C75" s="199" t="s">
        <v>1152</v>
      </c>
      <c r="D75" s="258">
        <v>-10665</v>
      </c>
      <c r="E75" s="207"/>
    </row>
    <row r="76" spans="1:5" ht="14.4">
      <c r="A76" s="201">
        <v>45727</v>
      </c>
      <c r="B76" s="261" t="s">
        <v>101</v>
      </c>
      <c r="C76" s="199" t="s">
        <v>1162</v>
      </c>
      <c r="D76" s="258">
        <v>-24268</v>
      </c>
      <c r="E76" s="206"/>
    </row>
    <row r="77" spans="1:5" ht="14.4">
      <c r="A77" s="201">
        <v>45727</v>
      </c>
      <c r="B77" s="261" t="s">
        <v>101</v>
      </c>
      <c r="C77" s="199" t="s">
        <v>1188</v>
      </c>
      <c r="D77" s="258">
        <v>-18255</v>
      </c>
      <c r="E77" s="206"/>
    </row>
    <row r="78" spans="1:5" ht="14.4">
      <c r="A78" s="201">
        <v>45742</v>
      </c>
      <c r="B78" s="261" t="s">
        <v>101</v>
      </c>
      <c r="C78" s="275" t="s">
        <v>1178</v>
      </c>
      <c r="D78" s="258">
        <v>-52635</v>
      </c>
      <c r="E78" s="206"/>
    </row>
    <row r="79" spans="1:5" ht="14.4">
      <c r="A79" s="201"/>
      <c r="B79" s="197"/>
      <c r="C79" s="203"/>
      <c r="D79" s="258"/>
      <c r="E79" s="205"/>
    </row>
    <row r="80" spans="1:5">
      <c r="A80" s="149"/>
      <c r="B80" s="165"/>
      <c r="C80" s="147"/>
      <c r="D80" s="148"/>
      <c r="E80" s="143"/>
    </row>
    <row r="81" spans="1:5">
      <c r="A81" s="149"/>
      <c r="B81" s="165"/>
      <c r="C81" s="147"/>
      <c r="D81" s="148"/>
      <c r="E81" s="143"/>
    </row>
    <row r="82" spans="1:5">
      <c r="A82" s="150"/>
      <c r="B82" s="166"/>
      <c r="C82" s="151"/>
      <c r="D82" s="152"/>
      <c r="E82" s="143"/>
    </row>
    <row r="83" spans="1:5">
      <c r="A83" s="150"/>
      <c r="B83" s="166"/>
      <c r="C83" s="151"/>
      <c r="D83" s="152"/>
      <c r="E83" s="143"/>
    </row>
    <row r="84" spans="1:5" ht="14.4" thickBot="1">
      <c r="A84" s="153"/>
      <c r="B84" s="154"/>
      <c r="C84" s="151"/>
      <c r="D84" s="155"/>
      <c r="E84" s="143"/>
    </row>
    <row r="85" spans="1:5" ht="14.4" thickBot="1">
      <c r="A85" s="156">
        <v>45747</v>
      </c>
      <c r="B85" s="157"/>
      <c r="C85" s="158" t="s">
        <v>560</v>
      </c>
      <c r="D85" s="159">
        <f>SUM(D67:D84)</f>
        <v>3282592</v>
      </c>
      <c r="E85" s="160"/>
    </row>
    <row r="86" spans="1:5" ht="14.4" thickBot="1">
      <c r="A86" s="125"/>
      <c r="B86" s="125"/>
      <c r="C86" s="134" t="s">
        <v>51</v>
      </c>
      <c r="D86" s="159">
        <v>3282592</v>
      </c>
      <c r="E86" s="161"/>
    </row>
    <row r="87" spans="1:5" ht="14.4" thickBot="1">
      <c r="A87" s="125"/>
      <c r="B87" s="125"/>
      <c r="C87" s="125"/>
      <c r="D87" s="127"/>
      <c r="E87" s="162"/>
    </row>
    <row r="88" spans="1:5" ht="14.4" thickBot="1">
      <c r="A88" s="125"/>
      <c r="B88" s="125"/>
      <c r="C88" s="163" t="s">
        <v>52</v>
      </c>
      <c r="D88" s="164">
        <f>D85-D86</f>
        <v>0</v>
      </c>
      <c r="E88" s="143"/>
    </row>
    <row r="89" spans="1:5">
      <c r="A89" s="125"/>
      <c r="B89" s="125"/>
      <c r="C89" s="125" t="s">
        <v>53</v>
      </c>
      <c r="D89" s="127"/>
      <c r="E89" s="127"/>
    </row>
    <row r="90" spans="1:5">
      <c r="A90" s="167" t="s">
        <v>56</v>
      </c>
      <c r="B90" s="167"/>
      <c r="C90" s="167"/>
      <c r="D90" s="167" t="s">
        <v>57</v>
      </c>
    </row>
    <row r="96" spans="1:5" ht="14.4">
      <c r="E96" s="254"/>
    </row>
    <row r="97" spans="5:5" ht="14.4">
      <c r="E97" s="254"/>
    </row>
    <row r="98" spans="5:5" ht="14.4">
      <c r="E98" s="254"/>
    </row>
    <row r="99" spans="5:5" ht="14.4">
      <c r="E99" s="254"/>
    </row>
    <row r="100" spans="5:5" ht="14.4">
      <c r="E100" s="254"/>
    </row>
    <row r="101" spans="5:5" ht="14.4">
      <c r="E101" s="254"/>
    </row>
    <row r="102" spans="5:5">
      <c r="E102" s="255"/>
    </row>
  </sheetData>
  <mergeCells count="5">
    <mergeCell ref="A7:E7"/>
    <mergeCell ref="C60:E60"/>
    <mergeCell ref="D61:E61"/>
    <mergeCell ref="D62:E62"/>
    <mergeCell ref="D63:E63"/>
  </mergeCells>
  <pageMargins left="0.7" right="0.7" top="0.78740157499999996" bottom="0.78740157499999996" header="0.3" footer="0.3"/>
  <pageSetup paperSize="9" scale="57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05"/>
  <sheetViews>
    <sheetView topLeftCell="A241" zoomScale="70" zoomScaleNormal="70" workbookViewId="0">
      <selection activeCell="K221" sqref="K221"/>
    </sheetView>
  </sheetViews>
  <sheetFormatPr baseColWidth="10" defaultColWidth="8.796875" defaultRowHeight="13.8"/>
  <cols>
    <col min="1" max="1" width="16.19921875" customWidth="1"/>
    <col min="2" max="2" width="78.796875" customWidth="1"/>
    <col min="3" max="3" width="23.3984375" customWidth="1"/>
    <col min="4" max="7" width="17.09765625" style="72" customWidth="1"/>
    <col min="8" max="9" width="17.09765625" customWidth="1"/>
    <col min="10" max="10" width="13.796875" customWidth="1"/>
  </cols>
  <sheetData>
    <row r="1" spans="1:11" ht="15.6">
      <c r="A1" s="226"/>
      <c r="B1" s="227"/>
      <c r="C1" s="228" t="s">
        <v>514</v>
      </c>
      <c r="D1" s="227"/>
      <c r="E1" s="229"/>
      <c r="F1" s="229"/>
      <c r="G1" s="229"/>
      <c r="H1" s="230"/>
      <c r="I1" s="227"/>
      <c r="J1" s="227"/>
      <c r="K1" s="227"/>
    </row>
    <row r="2" spans="1:11" ht="15.6">
      <c r="A2" s="226"/>
      <c r="B2" s="227"/>
      <c r="C2" s="227"/>
      <c r="D2" s="227"/>
      <c r="E2" s="229"/>
      <c r="F2" s="229"/>
      <c r="G2" s="229"/>
      <c r="H2" s="230"/>
      <c r="I2" s="227"/>
      <c r="J2" s="227"/>
      <c r="K2" s="227"/>
    </row>
    <row r="3" spans="1:11" ht="15.6">
      <c r="A3" s="231" t="s">
        <v>0</v>
      </c>
      <c r="B3" s="232" t="s">
        <v>515</v>
      </c>
      <c r="C3" s="232" t="s">
        <v>516</v>
      </c>
      <c r="D3" s="232" t="s">
        <v>517</v>
      </c>
      <c r="E3" s="233" t="s">
        <v>518</v>
      </c>
      <c r="F3" s="233" t="s">
        <v>519</v>
      </c>
      <c r="G3" s="233"/>
      <c r="H3" s="234" t="s">
        <v>30</v>
      </c>
      <c r="I3" s="232" t="s">
        <v>520</v>
      </c>
      <c r="J3" s="232" t="s">
        <v>521</v>
      </c>
      <c r="K3" s="235"/>
    </row>
    <row r="4" spans="1:11" ht="15.6">
      <c r="A4" s="317">
        <v>45717</v>
      </c>
      <c r="B4" s="333" t="s">
        <v>1229</v>
      </c>
      <c r="C4" s="333"/>
      <c r="D4" s="333"/>
      <c r="E4" s="337"/>
      <c r="F4" s="337"/>
      <c r="G4" s="337"/>
      <c r="H4" s="338">
        <v>12163</v>
      </c>
      <c r="I4" s="339" t="s">
        <v>156</v>
      </c>
      <c r="J4" s="333"/>
      <c r="K4" s="340"/>
    </row>
    <row r="5" spans="1:11" ht="15.6">
      <c r="A5" s="341">
        <v>45720</v>
      </c>
      <c r="B5" s="342" t="s">
        <v>1232</v>
      </c>
      <c r="C5" s="343" t="s">
        <v>127</v>
      </c>
      <c r="D5" s="344"/>
      <c r="E5" s="345">
        <v>300000</v>
      </c>
      <c r="F5" s="346"/>
      <c r="G5" s="346"/>
      <c r="H5" s="318">
        <f t="shared" ref="H5:H18" si="0">H4+E5-F5</f>
        <v>312163</v>
      </c>
      <c r="I5" s="347" t="s">
        <v>156</v>
      </c>
      <c r="J5" s="348" t="s">
        <v>1233</v>
      </c>
      <c r="K5" s="340"/>
    </row>
    <row r="6" spans="1:11" ht="15.6">
      <c r="A6" s="341">
        <v>45720</v>
      </c>
      <c r="B6" s="349" t="s">
        <v>674</v>
      </c>
      <c r="C6" s="349" t="s">
        <v>414</v>
      </c>
      <c r="D6" s="349" t="s">
        <v>124</v>
      </c>
      <c r="E6" s="350">
        <v>30000</v>
      </c>
      <c r="F6" s="350"/>
      <c r="G6" s="350"/>
      <c r="H6" s="318">
        <f t="shared" si="0"/>
        <v>342163</v>
      </c>
      <c r="I6" s="349" t="s">
        <v>156</v>
      </c>
      <c r="J6" s="220" t="s">
        <v>1081</v>
      </c>
      <c r="K6" s="340"/>
    </row>
    <row r="7" spans="1:11" ht="15.6">
      <c r="A7" s="341">
        <v>45720</v>
      </c>
      <c r="B7" s="349" t="s">
        <v>674</v>
      </c>
      <c r="C7" s="349" t="s">
        <v>414</v>
      </c>
      <c r="D7" s="349" t="s">
        <v>124</v>
      </c>
      <c r="E7" s="350"/>
      <c r="F7" s="350">
        <v>30000</v>
      </c>
      <c r="G7" s="350"/>
      <c r="H7" s="318">
        <f t="shared" si="0"/>
        <v>312163</v>
      </c>
      <c r="I7" s="349" t="s">
        <v>156</v>
      </c>
      <c r="J7" s="220" t="s">
        <v>1081</v>
      </c>
      <c r="K7" s="333"/>
    </row>
    <row r="8" spans="1:11" ht="15.6">
      <c r="A8" s="341">
        <v>45722</v>
      </c>
      <c r="B8" s="342" t="s">
        <v>1234</v>
      </c>
      <c r="C8" s="343" t="s">
        <v>130</v>
      </c>
      <c r="D8" s="344" t="s">
        <v>122</v>
      </c>
      <c r="E8" s="349"/>
      <c r="F8" s="346">
        <v>174625</v>
      </c>
      <c r="G8" s="346"/>
      <c r="H8" s="318">
        <f t="shared" si="0"/>
        <v>137538</v>
      </c>
      <c r="I8" s="347" t="s">
        <v>156</v>
      </c>
      <c r="J8" s="348" t="s">
        <v>1235</v>
      </c>
      <c r="K8" s="340"/>
    </row>
    <row r="9" spans="1:11" ht="15.6">
      <c r="A9" s="341">
        <v>45722</v>
      </c>
      <c r="B9" s="349" t="s">
        <v>674</v>
      </c>
      <c r="C9" s="349" t="s">
        <v>414</v>
      </c>
      <c r="D9" s="349" t="s">
        <v>124</v>
      </c>
      <c r="E9" s="350">
        <v>30000</v>
      </c>
      <c r="F9" s="350"/>
      <c r="G9" s="350"/>
      <c r="H9" s="318">
        <f t="shared" si="0"/>
        <v>167538</v>
      </c>
      <c r="I9" s="349" t="s">
        <v>156</v>
      </c>
      <c r="J9" s="220" t="s">
        <v>1087</v>
      </c>
      <c r="K9" s="333"/>
    </row>
    <row r="10" spans="1:11" ht="15.6">
      <c r="A10" s="341">
        <v>45722</v>
      </c>
      <c r="B10" s="349" t="s">
        <v>674</v>
      </c>
      <c r="C10" s="349" t="s">
        <v>414</v>
      </c>
      <c r="D10" s="349" t="s">
        <v>124</v>
      </c>
      <c r="E10" s="350"/>
      <c r="F10" s="350">
        <v>30000</v>
      </c>
      <c r="G10" s="350"/>
      <c r="H10" s="318">
        <f t="shared" si="0"/>
        <v>137538</v>
      </c>
      <c r="I10" s="349" t="s">
        <v>156</v>
      </c>
      <c r="J10" s="220" t="s">
        <v>1087</v>
      </c>
      <c r="K10" s="340"/>
    </row>
    <row r="11" spans="1:11" ht="15.6">
      <c r="A11" s="341">
        <v>45723</v>
      </c>
      <c r="B11" s="349" t="s">
        <v>958</v>
      </c>
      <c r="C11" s="349" t="s">
        <v>324</v>
      </c>
      <c r="D11" s="349" t="s">
        <v>121</v>
      </c>
      <c r="E11" s="350">
        <v>20000</v>
      </c>
      <c r="F11" s="350"/>
      <c r="G11" s="350"/>
      <c r="H11" s="318">
        <f t="shared" si="0"/>
        <v>157538</v>
      </c>
      <c r="I11" s="349" t="s">
        <v>156</v>
      </c>
      <c r="J11" s="220" t="s">
        <v>1089</v>
      </c>
      <c r="K11" s="340"/>
    </row>
    <row r="12" spans="1:11" ht="15.6">
      <c r="A12" s="341">
        <v>45723</v>
      </c>
      <c r="B12" s="349" t="s">
        <v>958</v>
      </c>
      <c r="C12" s="349" t="s">
        <v>324</v>
      </c>
      <c r="D12" s="349" t="s">
        <v>121</v>
      </c>
      <c r="E12" s="350"/>
      <c r="F12" s="350">
        <v>20000</v>
      </c>
      <c r="G12" s="350"/>
      <c r="H12" s="318">
        <f t="shared" si="0"/>
        <v>137538</v>
      </c>
      <c r="I12" s="349" t="s">
        <v>156</v>
      </c>
      <c r="J12" s="220" t="s">
        <v>1089</v>
      </c>
      <c r="K12" s="340"/>
    </row>
    <row r="13" spans="1:11" ht="15.6">
      <c r="A13" s="341">
        <v>45726</v>
      </c>
      <c r="B13" s="342" t="s">
        <v>731</v>
      </c>
      <c r="C13" s="343" t="s">
        <v>127</v>
      </c>
      <c r="D13" s="344"/>
      <c r="E13" s="349"/>
      <c r="F13" s="346">
        <v>130000</v>
      </c>
      <c r="G13" s="346"/>
      <c r="H13" s="318">
        <f t="shared" si="0"/>
        <v>7538</v>
      </c>
      <c r="I13" s="347" t="s">
        <v>156</v>
      </c>
      <c r="J13" s="348" t="s">
        <v>1236</v>
      </c>
      <c r="K13" s="340"/>
    </row>
    <row r="14" spans="1:11" ht="15.6">
      <c r="A14" s="341">
        <v>45736</v>
      </c>
      <c r="B14" s="342" t="s">
        <v>1237</v>
      </c>
      <c r="C14" s="342" t="s">
        <v>127</v>
      </c>
      <c r="D14" s="342"/>
      <c r="E14" s="349">
        <v>33000</v>
      </c>
      <c r="F14" s="346"/>
      <c r="G14" s="346"/>
      <c r="H14" s="318">
        <f t="shared" si="0"/>
        <v>40538</v>
      </c>
      <c r="I14" s="347" t="s">
        <v>156</v>
      </c>
      <c r="J14" s="348" t="s">
        <v>1238</v>
      </c>
      <c r="K14" s="340"/>
    </row>
    <row r="15" spans="1:11" ht="15.6">
      <c r="A15" s="341">
        <v>45736</v>
      </c>
      <c r="B15" s="342" t="s">
        <v>1239</v>
      </c>
      <c r="C15" s="342" t="s">
        <v>414</v>
      </c>
      <c r="D15" s="342" t="s">
        <v>124</v>
      </c>
      <c r="E15" s="349"/>
      <c r="F15" s="346">
        <v>31000</v>
      </c>
      <c r="G15" s="346"/>
      <c r="H15" s="318">
        <f t="shared" si="0"/>
        <v>9538</v>
      </c>
      <c r="I15" s="347" t="s">
        <v>156</v>
      </c>
      <c r="J15" s="348" t="s">
        <v>1240</v>
      </c>
      <c r="K15" s="340"/>
    </row>
    <row r="16" spans="1:11" ht="15.6">
      <c r="A16" s="341">
        <v>45736</v>
      </c>
      <c r="B16" s="342" t="s">
        <v>726</v>
      </c>
      <c r="C16" s="342" t="s">
        <v>189</v>
      </c>
      <c r="D16" s="342" t="s">
        <v>121</v>
      </c>
      <c r="E16" s="349"/>
      <c r="F16" s="346">
        <f>33017-31000</f>
        <v>2017</v>
      </c>
      <c r="G16" s="346"/>
      <c r="H16" s="318">
        <f t="shared" si="0"/>
        <v>7521</v>
      </c>
      <c r="I16" s="347" t="s">
        <v>156</v>
      </c>
      <c r="J16" s="348" t="s">
        <v>1241</v>
      </c>
      <c r="K16" s="340"/>
    </row>
    <row r="17" spans="1:11" ht="15.6">
      <c r="A17" s="341">
        <v>45736</v>
      </c>
      <c r="B17" s="342" t="s">
        <v>1242</v>
      </c>
      <c r="C17" s="342" t="s">
        <v>127</v>
      </c>
      <c r="D17" s="342"/>
      <c r="E17" s="349">
        <v>50000</v>
      </c>
      <c r="F17" s="346"/>
      <c r="G17" s="346"/>
      <c r="H17" s="318">
        <f t="shared" si="0"/>
        <v>57521</v>
      </c>
      <c r="I17" s="347" t="s">
        <v>156</v>
      </c>
      <c r="J17" s="348" t="s">
        <v>1243</v>
      </c>
      <c r="K17" s="340"/>
    </row>
    <row r="18" spans="1:11" ht="15.6">
      <c r="A18" s="341">
        <v>45747</v>
      </c>
      <c r="B18" s="349" t="s">
        <v>1244</v>
      </c>
      <c r="C18" s="343" t="s">
        <v>179</v>
      </c>
      <c r="D18" s="344" t="s">
        <v>122</v>
      </c>
      <c r="E18" s="349"/>
      <c r="F18" s="346">
        <v>61000</v>
      </c>
      <c r="G18" s="346"/>
      <c r="H18" s="318">
        <f t="shared" si="0"/>
        <v>-3479</v>
      </c>
      <c r="I18" s="347" t="s">
        <v>156</v>
      </c>
      <c r="J18" s="348" t="s">
        <v>1245</v>
      </c>
      <c r="K18" s="340"/>
    </row>
    <row r="19" spans="1:11" ht="15.6">
      <c r="A19" s="351"/>
      <c r="B19" s="333"/>
      <c r="C19" s="333"/>
      <c r="D19" s="333"/>
      <c r="E19" s="337">
        <f>SUM(E4:E18)</f>
        <v>463000</v>
      </c>
      <c r="F19" s="337">
        <f>SUM(F4:F18)</f>
        <v>478642</v>
      </c>
      <c r="G19" s="337"/>
      <c r="H19" s="338">
        <f>+H4+E19-F19</f>
        <v>-3479</v>
      </c>
      <c r="I19" s="333"/>
      <c r="J19" s="333"/>
      <c r="K19" s="340"/>
    </row>
    <row r="20" spans="1:11" ht="15.6">
      <c r="A20" s="352"/>
      <c r="B20" s="340"/>
      <c r="C20" s="353" t="s">
        <v>522</v>
      </c>
      <c r="D20" s="340"/>
      <c r="E20" s="354"/>
      <c r="F20" s="354"/>
      <c r="G20" s="354"/>
      <c r="H20" s="355"/>
      <c r="I20" s="340"/>
      <c r="J20" s="340"/>
      <c r="K20" s="340"/>
    </row>
    <row r="21" spans="1:11" ht="15.6">
      <c r="A21" s="352"/>
      <c r="B21" s="340"/>
      <c r="C21" s="340"/>
      <c r="D21" s="340"/>
      <c r="E21" s="354"/>
      <c r="F21" s="354"/>
      <c r="G21" s="354"/>
      <c r="H21" s="355"/>
      <c r="I21" s="340"/>
      <c r="J21" s="340"/>
      <c r="K21" s="340"/>
    </row>
    <row r="22" spans="1:11" ht="15.6">
      <c r="A22" s="356" t="s">
        <v>0</v>
      </c>
      <c r="B22" s="357" t="s">
        <v>515</v>
      </c>
      <c r="C22" s="357" t="s">
        <v>516</v>
      </c>
      <c r="D22" s="357" t="s">
        <v>517</v>
      </c>
      <c r="E22" s="358" t="s">
        <v>518</v>
      </c>
      <c r="F22" s="358" t="s">
        <v>519</v>
      </c>
      <c r="G22" s="358"/>
      <c r="H22" s="359" t="s">
        <v>30</v>
      </c>
      <c r="I22" s="357" t="s">
        <v>520</v>
      </c>
      <c r="J22" s="357" t="s">
        <v>521</v>
      </c>
      <c r="K22" s="360"/>
    </row>
    <row r="23" spans="1:11" ht="15.6">
      <c r="A23" s="319">
        <v>45717</v>
      </c>
      <c r="B23" s="333" t="s">
        <v>1229</v>
      </c>
      <c r="C23" s="333"/>
      <c r="D23" s="333"/>
      <c r="E23" s="337"/>
      <c r="F23" s="337"/>
      <c r="G23" s="337"/>
      <c r="H23" s="338">
        <v>150370</v>
      </c>
      <c r="I23" s="320" t="s">
        <v>209</v>
      </c>
      <c r="J23" s="333"/>
      <c r="K23" s="340"/>
    </row>
    <row r="24" spans="1:11" ht="14.4">
      <c r="A24" s="361">
        <v>45717</v>
      </c>
      <c r="B24" s="237" t="s">
        <v>1454</v>
      </c>
      <c r="C24" s="237" t="s">
        <v>526</v>
      </c>
      <c r="D24" s="237" t="s">
        <v>524</v>
      </c>
      <c r="E24" s="362"/>
      <c r="F24" s="362">
        <v>75000</v>
      </c>
      <c r="G24" s="362"/>
      <c r="H24" s="363">
        <f t="shared" ref="H24:H47" si="1">+H23+E24-G24</f>
        <v>150370</v>
      </c>
      <c r="I24" s="237" t="s">
        <v>209</v>
      </c>
      <c r="J24" s="237" t="s">
        <v>1496</v>
      </c>
      <c r="K24" s="364"/>
    </row>
    <row r="25" spans="1:11" ht="14.4">
      <c r="A25" s="361">
        <v>45720</v>
      </c>
      <c r="B25" s="237" t="s">
        <v>523</v>
      </c>
      <c r="C25" s="237" t="s">
        <v>127</v>
      </c>
      <c r="D25" s="237" t="s">
        <v>524</v>
      </c>
      <c r="E25" s="362">
        <v>100000</v>
      </c>
      <c r="F25" s="362"/>
      <c r="G25" s="362"/>
      <c r="H25" s="363">
        <f t="shared" si="1"/>
        <v>250370</v>
      </c>
      <c r="I25" s="237" t="s">
        <v>209</v>
      </c>
      <c r="J25" s="237" t="s">
        <v>1455</v>
      </c>
      <c r="K25" s="364"/>
    </row>
    <row r="26" spans="1:11" ht="14.4">
      <c r="A26" s="280">
        <v>45721</v>
      </c>
      <c r="B26" s="237" t="s">
        <v>1456</v>
      </c>
      <c r="C26" s="237" t="s">
        <v>526</v>
      </c>
      <c r="D26" s="237" t="s">
        <v>524</v>
      </c>
      <c r="E26" s="237"/>
      <c r="F26" s="237">
        <v>30000</v>
      </c>
      <c r="G26" s="237"/>
      <c r="H26" s="363">
        <f t="shared" si="1"/>
        <v>250370</v>
      </c>
      <c r="I26" s="237" t="s">
        <v>209</v>
      </c>
      <c r="J26" s="237" t="s">
        <v>1457</v>
      </c>
      <c r="K26" s="364"/>
    </row>
    <row r="27" spans="1:11" ht="14.4">
      <c r="A27" s="361">
        <v>45724</v>
      </c>
      <c r="B27" s="237" t="s">
        <v>1458</v>
      </c>
      <c r="C27" s="237" t="s">
        <v>526</v>
      </c>
      <c r="D27" s="237" t="s">
        <v>524</v>
      </c>
      <c r="E27" s="362"/>
      <c r="F27" s="362">
        <v>105000</v>
      </c>
      <c r="G27" s="362"/>
      <c r="H27" s="363">
        <f t="shared" si="1"/>
        <v>250370</v>
      </c>
      <c r="I27" s="237" t="s">
        <v>209</v>
      </c>
      <c r="J27" s="237" t="s">
        <v>1497</v>
      </c>
      <c r="K27" s="364"/>
    </row>
    <row r="28" spans="1:11" ht="14.4">
      <c r="A28" s="361">
        <v>45724</v>
      </c>
      <c r="B28" s="237" t="s">
        <v>1459</v>
      </c>
      <c r="C28" s="237" t="s">
        <v>179</v>
      </c>
      <c r="D28" s="237" t="s">
        <v>524</v>
      </c>
      <c r="E28" s="362"/>
      <c r="F28" s="362">
        <v>7000</v>
      </c>
      <c r="G28" s="362"/>
      <c r="H28" s="363">
        <f t="shared" si="1"/>
        <v>250370</v>
      </c>
      <c r="I28" s="237" t="s">
        <v>209</v>
      </c>
      <c r="J28" s="237" t="s">
        <v>1498</v>
      </c>
      <c r="K28" s="364"/>
    </row>
    <row r="29" spans="1:11" ht="14.4">
      <c r="A29" s="361">
        <v>45732</v>
      </c>
      <c r="B29" s="237" t="s">
        <v>523</v>
      </c>
      <c r="C29" s="237" t="s">
        <v>127</v>
      </c>
      <c r="D29" s="237"/>
      <c r="E29" s="362">
        <v>70000</v>
      </c>
      <c r="F29" s="362"/>
      <c r="G29" s="362"/>
      <c r="H29" s="363">
        <f t="shared" si="1"/>
        <v>320370</v>
      </c>
      <c r="I29" s="237" t="s">
        <v>209</v>
      </c>
      <c r="J29" s="237" t="s">
        <v>1460</v>
      </c>
      <c r="K29" s="364"/>
    </row>
    <row r="30" spans="1:11" ht="14.4">
      <c r="A30" s="361">
        <v>45732</v>
      </c>
      <c r="B30" s="237" t="s">
        <v>1461</v>
      </c>
      <c r="C30" s="237" t="s">
        <v>179</v>
      </c>
      <c r="D30" s="237" t="s">
        <v>524</v>
      </c>
      <c r="E30" s="362"/>
      <c r="F30" s="362">
        <v>10000</v>
      </c>
      <c r="G30" s="362"/>
      <c r="H30" s="363">
        <f t="shared" si="1"/>
        <v>320370</v>
      </c>
      <c r="I30" s="237" t="s">
        <v>209</v>
      </c>
      <c r="J30" s="237" t="s">
        <v>1499</v>
      </c>
      <c r="K30" s="364"/>
    </row>
    <row r="31" spans="1:11" ht="14.4">
      <c r="A31" s="361">
        <v>45733</v>
      </c>
      <c r="B31" s="237" t="s">
        <v>1462</v>
      </c>
      <c r="C31" s="237" t="s">
        <v>526</v>
      </c>
      <c r="D31" s="237" t="s">
        <v>525</v>
      </c>
      <c r="E31" s="362"/>
      <c r="F31" s="362">
        <v>190000</v>
      </c>
      <c r="G31" s="362"/>
      <c r="H31" s="363">
        <f t="shared" si="1"/>
        <v>320370</v>
      </c>
      <c r="I31" s="237" t="s">
        <v>209</v>
      </c>
      <c r="J31" s="237" t="s">
        <v>1463</v>
      </c>
      <c r="K31" s="364"/>
    </row>
    <row r="32" spans="1:11" ht="14.4">
      <c r="A32" s="361">
        <v>45734</v>
      </c>
      <c r="B32" s="237" t="s">
        <v>523</v>
      </c>
      <c r="C32" s="237" t="s">
        <v>127</v>
      </c>
      <c r="D32" s="237"/>
      <c r="E32" s="362">
        <v>360000</v>
      </c>
      <c r="F32" s="362"/>
      <c r="G32" s="362"/>
      <c r="H32" s="363">
        <f t="shared" si="1"/>
        <v>680370</v>
      </c>
      <c r="I32" s="237" t="s">
        <v>209</v>
      </c>
      <c r="J32" s="237" t="s">
        <v>1464</v>
      </c>
      <c r="K32" s="364"/>
    </row>
    <row r="33" spans="1:11" ht="14.4">
      <c r="A33" s="361">
        <v>45735</v>
      </c>
      <c r="B33" s="237" t="s">
        <v>527</v>
      </c>
      <c r="C33" s="237" t="s">
        <v>127</v>
      </c>
      <c r="D33" s="237"/>
      <c r="E33" s="362"/>
      <c r="F33" s="362">
        <v>300000</v>
      </c>
      <c r="G33" s="362"/>
      <c r="H33" s="363">
        <f t="shared" si="1"/>
        <v>680370</v>
      </c>
      <c r="I33" s="237" t="s">
        <v>209</v>
      </c>
      <c r="J33" s="237" t="s">
        <v>1465</v>
      </c>
      <c r="K33" s="364"/>
    </row>
    <row r="34" spans="1:11" ht="14.4">
      <c r="A34" s="280">
        <v>45735</v>
      </c>
      <c r="B34" s="237" t="s">
        <v>1466</v>
      </c>
      <c r="C34" s="237" t="s">
        <v>526</v>
      </c>
      <c r="D34" s="237" t="s">
        <v>525</v>
      </c>
      <c r="E34" s="237"/>
      <c r="F34" s="237">
        <v>30000</v>
      </c>
      <c r="G34" s="237"/>
      <c r="H34" s="363">
        <f t="shared" si="1"/>
        <v>680370</v>
      </c>
      <c r="I34" s="237" t="s">
        <v>209</v>
      </c>
      <c r="J34" s="237" t="s">
        <v>1500</v>
      </c>
      <c r="K34" s="279"/>
    </row>
    <row r="35" spans="1:11" ht="14.4">
      <c r="A35" s="361">
        <v>45737</v>
      </c>
      <c r="B35" s="237" t="s">
        <v>523</v>
      </c>
      <c r="C35" s="237" t="s">
        <v>127</v>
      </c>
      <c r="D35" s="237"/>
      <c r="E35" s="362">
        <v>80000</v>
      </c>
      <c r="F35" s="362"/>
      <c r="G35" s="362"/>
      <c r="H35" s="363">
        <f t="shared" si="1"/>
        <v>760370</v>
      </c>
      <c r="I35" s="237" t="s">
        <v>209</v>
      </c>
      <c r="J35" s="237" t="s">
        <v>1467</v>
      </c>
      <c r="K35" s="364"/>
    </row>
    <row r="36" spans="1:11" ht="14.4">
      <c r="A36" s="280">
        <v>45738</v>
      </c>
      <c r="B36" s="237" t="s">
        <v>1468</v>
      </c>
      <c r="C36" s="237" t="s">
        <v>526</v>
      </c>
      <c r="D36" s="237" t="s">
        <v>525</v>
      </c>
      <c r="E36" s="237"/>
      <c r="F36" s="237">
        <v>11800</v>
      </c>
      <c r="G36" s="237"/>
      <c r="H36" s="363">
        <f t="shared" si="1"/>
        <v>760370</v>
      </c>
      <c r="I36" s="237" t="s">
        <v>209</v>
      </c>
      <c r="J36" s="237" t="s">
        <v>1501</v>
      </c>
      <c r="K36" s="279"/>
    </row>
    <row r="37" spans="1:11" ht="14.4">
      <c r="A37" s="361">
        <v>45740</v>
      </c>
      <c r="B37" s="237" t="s">
        <v>523</v>
      </c>
      <c r="C37" s="237" t="s">
        <v>127</v>
      </c>
      <c r="D37" s="237"/>
      <c r="E37" s="362">
        <v>200000</v>
      </c>
      <c r="F37" s="362"/>
      <c r="G37" s="362"/>
      <c r="H37" s="363">
        <f t="shared" si="1"/>
        <v>960370</v>
      </c>
      <c r="I37" s="237" t="s">
        <v>209</v>
      </c>
      <c r="J37" s="237" t="s">
        <v>1469</v>
      </c>
      <c r="K37" s="364"/>
    </row>
    <row r="38" spans="1:11" ht="14.4">
      <c r="A38" s="280">
        <v>45740</v>
      </c>
      <c r="B38" s="237" t="s">
        <v>1470</v>
      </c>
      <c r="C38" s="237" t="s">
        <v>278</v>
      </c>
      <c r="D38" s="237" t="s">
        <v>525</v>
      </c>
      <c r="E38" s="237"/>
      <c r="F38" s="237">
        <v>180000</v>
      </c>
      <c r="G38" s="237"/>
      <c r="H38" s="363">
        <f t="shared" si="1"/>
        <v>960370</v>
      </c>
      <c r="I38" s="237" t="s">
        <v>209</v>
      </c>
      <c r="J38" s="237" t="s">
        <v>1502</v>
      </c>
      <c r="K38" s="279"/>
    </row>
    <row r="39" spans="1:11" ht="14.4">
      <c r="A39" s="280">
        <v>45740</v>
      </c>
      <c r="B39" s="237" t="s">
        <v>1471</v>
      </c>
      <c r="C39" s="237" t="s">
        <v>278</v>
      </c>
      <c r="D39" s="237" t="s">
        <v>525</v>
      </c>
      <c r="E39" s="237"/>
      <c r="F39" s="237">
        <v>20000</v>
      </c>
      <c r="G39" s="237"/>
      <c r="H39" s="363">
        <f t="shared" si="1"/>
        <v>960370</v>
      </c>
      <c r="I39" s="237" t="s">
        <v>209</v>
      </c>
      <c r="J39" s="237" t="s">
        <v>1503</v>
      </c>
      <c r="K39" s="279"/>
    </row>
    <row r="40" spans="1:11" ht="14.4">
      <c r="A40" s="361">
        <v>45741</v>
      </c>
      <c r="B40" s="237" t="s">
        <v>523</v>
      </c>
      <c r="C40" s="237" t="s">
        <v>127</v>
      </c>
      <c r="D40" s="237"/>
      <c r="E40" s="362">
        <v>112000</v>
      </c>
      <c r="F40" s="362"/>
      <c r="G40" s="362"/>
      <c r="H40" s="363">
        <f t="shared" si="1"/>
        <v>1072370</v>
      </c>
      <c r="I40" s="237" t="s">
        <v>209</v>
      </c>
      <c r="J40" s="237" t="s">
        <v>1472</v>
      </c>
      <c r="K40" s="364"/>
    </row>
    <row r="41" spans="1:11" ht="14.4">
      <c r="A41" s="361">
        <v>45744</v>
      </c>
      <c r="B41" s="237" t="s">
        <v>523</v>
      </c>
      <c r="C41" s="237" t="s">
        <v>127</v>
      </c>
      <c r="D41" s="237"/>
      <c r="E41" s="362">
        <v>277500</v>
      </c>
      <c r="F41" s="362"/>
      <c r="G41" s="362"/>
      <c r="H41" s="363">
        <f t="shared" si="1"/>
        <v>1349870</v>
      </c>
      <c r="I41" s="237" t="s">
        <v>209</v>
      </c>
      <c r="J41" s="237" t="s">
        <v>1473</v>
      </c>
      <c r="K41" s="364"/>
    </row>
    <row r="42" spans="1:11" ht="14.4">
      <c r="A42" s="280">
        <v>45745</v>
      </c>
      <c r="B42" s="237" t="s">
        <v>1474</v>
      </c>
      <c r="C42" s="237" t="s">
        <v>278</v>
      </c>
      <c r="D42" s="237" t="s">
        <v>525</v>
      </c>
      <c r="E42" s="237"/>
      <c r="F42" s="237">
        <v>120000</v>
      </c>
      <c r="G42" s="237"/>
      <c r="H42" s="363">
        <f t="shared" si="1"/>
        <v>1349870</v>
      </c>
      <c r="I42" s="237" t="s">
        <v>209</v>
      </c>
      <c r="J42" s="237" t="s">
        <v>1504</v>
      </c>
      <c r="K42" s="279"/>
    </row>
    <row r="43" spans="1:11" ht="14.4">
      <c r="A43" s="280">
        <v>45745</v>
      </c>
      <c r="B43" s="237" t="s">
        <v>1475</v>
      </c>
      <c r="C43" s="237" t="s">
        <v>526</v>
      </c>
      <c r="D43" s="237" t="s">
        <v>525</v>
      </c>
      <c r="E43" s="237"/>
      <c r="F43" s="237">
        <v>60000</v>
      </c>
      <c r="G43" s="237"/>
      <c r="H43" s="363">
        <f t="shared" si="1"/>
        <v>1349870</v>
      </c>
      <c r="I43" s="237" t="s">
        <v>209</v>
      </c>
      <c r="J43" s="237" t="s">
        <v>1505</v>
      </c>
      <c r="K43" s="279"/>
    </row>
    <row r="44" spans="1:11" ht="14.4">
      <c r="A44" s="280">
        <v>45745</v>
      </c>
      <c r="B44" s="237" t="s">
        <v>1476</v>
      </c>
      <c r="C44" s="237" t="s">
        <v>179</v>
      </c>
      <c r="D44" s="237" t="s">
        <v>525</v>
      </c>
      <c r="E44" s="237"/>
      <c r="F44" s="237">
        <v>46875</v>
      </c>
      <c r="G44" s="237"/>
      <c r="H44" s="363">
        <f t="shared" si="1"/>
        <v>1349870</v>
      </c>
      <c r="I44" s="237" t="s">
        <v>209</v>
      </c>
      <c r="J44" s="237" t="s">
        <v>1506</v>
      </c>
      <c r="K44" s="279"/>
    </row>
    <row r="45" spans="1:11" ht="14.4">
      <c r="A45" s="280">
        <v>45745</v>
      </c>
      <c r="B45" s="237" t="s">
        <v>1477</v>
      </c>
      <c r="C45" s="237" t="s">
        <v>179</v>
      </c>
      <c r="D45" s="237" t="s">
        <v>525</v>
      </c>
      <c r="E45" s="237"/>
      <c r="F45" s="237">
        <v>46875</v>
      </c>
      <c r="G45" s="237"/>
      <c r="H45" s="363">
        <f t="shared" si="1"/>
        <v>1349870</v>
      </c>
      <c r="I45" s="237" t="s">
        <v>209</v>
      </c>
      <c r="J45" s="237" t="s">
        <v>1507</v>
      </c>
      <c r="K45" s="279"/>
    </row>
    <row r="46" spans="1:11" ht="14.4">
      <c r="A46" s="361">
        <v>45745</v>
      </c>
      <c r="B46" s="237" t="s">
        <v>1478</v>
      </c>
      <c r="C46" s="237" t="s">
        <v>179</v>
      </c>
      <c r="D46" s="237" t="s">
        <v>524</v>
      </c>
      <c r="E46" s="362"/>
      <c r="F46" s="362">
        <v>40000</v>
      </c>
      <c r="G46" s="362"/>
      <c r="H46" s="363">
        <f t="shared" si="1"/>
        <v>1349870</v>
      </c>
      <c r="I46" s="237" t="s">
        <v>209</v>
      </c>
      <c r="J46" s="237" t="s">
        <v>1508</v>
      </c>
      <c r="K46" s="364"/>
    </row>
    <row r="47" spans="1:11" ht="14.4">
      <c r="A47" s="361">
        <v>45747</v>
      </c>
      <c r="B47" s="237" t="s">
        <v>523</v>
      </c>
      <c r="C47" s="237" t="s">
        <v>127</v>
      </c>
      <c r="D47" s="237"/>
      <c r="E47" s="362">
        <v>185000</v>
      </c>
      <c r="F47" s="362"/>
      <c r="G47" s="362"/>
      <c r="H47" s="363">
        <f t="shared" si="1"/>
        <v>1534870</v>
      </c>
      <c r="I47" s="237" t="s">
        <v>209</v>
      </c>
      <c r="J47" s="237" t="s">
        <v>1479</v>
      </c>
      <c r="K47" s="364"/>
    </row>
    <row r="48" spans="1:11" ht="15.6">
      <c r="A48" s="365"/>
      <c r="B48" s="340"/>
      <c r="C48" s="340"/>
      <c r="D48" s="340"/>
      <c r="E48" s="366">
        <f>SUM(E23:E47)</f>
        <v>1384500</v>
      </c>
      <c r="F48" s="366">
        <f>SUM(F23:F47)</f>
        <v>1272550</v>
      </c>
      <c r="G48" s="366"/>
      <c r="H48" s="355">
        <f>+E48-F48+H23</f>
        <v>262320</v>
      </c>
      <c r="I48" s="340"/>
      <c r="J48" s="340"/>
      <c r="K48" s="340"/>
    </row>
    <row r="49" spans="1:11" ht="15.6">
      <c r="A49" s="365"/>
      <c r="B49" s="340"/>
      <c r="C49" s="353"/>
      <c r="D49" s="340"/>
      <c r="E49" s="354"/>
      <c r="F49" s="354"/>
      <c r="G49" s="354"/>
      <c r="H49" s="355"/>
      <c r="I49" s="340"/>
      <c r="J49" s="340"/>
      <c r="K49" s="340"/>
    </row>
    <row r="50" spans="1:11" ht="15.6">
      <c r="A50" s="365"/>
      <c r="B50" s="340"/>
      <c r="C50" s="340"/>
      <c r="D50" s="340"/>
      <c r="E50" s="354"/>
      <c r="F50" s="354"/>
      <c r="G50" s="354"/>
      <c r="H50" s="355"/>
      <c r="I50" s="340"/>
      <c r="J50" s="340"/>
      <c r="K50" s="340"/>
    </row>
    <row r="51" spans="1:11" ht="15.6">
      <c r="A51" s="365"/>
      <c r="B51" s="340"/>
      <c r="C51" s="353" t="s">
        <v>528</v>
      </c>
      <c r="D51" s="340"/>
      <c r="E51" s="354"/>
      <c r="F51" s="354"/>
      <c r="G51" s="354"/>
      <c r="H51" s="355"/>
      <c r="I51" s="340"/>
      <c r="J51" s="340"/>
      <c r="K51" s="340"/>
    </row>
    <row r="52" spans="1:11" ht="15.6">
      <c r="A52" s="365"/>
      <c r="B52" s="340"/>
      <c r="C52" s="340"/>
      <c r="D52" s="340"/>
      <c r="E52" s="354"/>
      <c r="F52" s="354"/>
      <c r="G52" s="354"/>
      <c r="H52" s="355"/>
      <c r="I52" s="340"/>
      <c r="J52" s="340"/>
      <c r="K52" s="340"/>
    </row>
    <row r="53" spans="1:11" ht="15.6">
      <c r="A53" s="367" t="s">
        <v>0</v>
      </c>
      <c r="B53" s="357" t="s">
        <v>515</v>
      </c>
      <c r="C53" s="357" t="s">
        <v>928</v>
      </c>
      <c r="D53" s="357" t="s">
        <v>516</v>
      </c>
      <c r="E53" s="358" t="s">
        <v>518</v>
      </c>
      <c r="F53" s="358" t="s">
        <v>519</v>
      </c>
      <c r="G53" s="358"/>
      <c r="H53" s="368" t="s">
        <v>30</v>
      </c>
      <c r="I53" s="357" t="s">
        <v>520</v>
      </c>
      <c r="J53" s="357" t="s">
        <v>521</v>
      </c>
      <c r="K53" s="360"/>
    </row>
    <row r="54" spans="1:11" ht="15.6">
      <c r="A54" s="319">
        <v>45717</v>
      </c>
      <c r="B54" s="349" t="s">
        <v>1228</v>
      </c>
      <c r="C54" s="349"/>
      <c r="D54" s="349"/>
      <c r="E54" s="349"/>
      <c r="F54" s="349"/>
      <c r="G54" s="349"/>
      <c r="H54" s="369">
        <v>-100</v>
      </c>
      <c r="I54" s="349" t="s">
        <v>161</v>
      </c>
      <c r="J54" s="349"/>
      <c r="K54" s="340"/>
    </row>
    <row r="55" spans="1:11" ht="15.6">
      <c r="A55" s="370">
        <v>45719</v>
      </c>
      <c r="B55" s="349" t="s">
        <v>529</v>
      </c>
      <c r="C55" s="349" t="s">
        <v>127</v>
      </c>
      <c r="D55" s="349"/>
      <c r="E55" s="371">
        <v>10000</v>
      </c>
      <c r="F55" s="371"/>
      <c r="G55" s="371"/>
      <c r="H55" s="371">
        <f t="shared" ref="H55:H100" si="2">+H54+E55-F55</f>
        <v>9900</v>
      </c>
      <c r="I55" s="349" t="s">
        <v>161</v>
      </c>
      <c r="J55" s="349"/>
      <c r="K55" s="340"/>
    </row>
    <row r="56" spans="1:11" ht="15.6">
      <c r="A56" s="219">
        <v>45719</v>
      </c>
      <c r="B56" s="349" t="s">
        <v>931</v>
      </c>
      <c r="C56" s="349" t="s">
        <v>155</v>
      </c>
      <c r="D56" s="349" t="s">
        <v>122</v>
      </c>
      <c r="E56" s="350">
        <v>47000</v>
      </c>
      <c r="F56" s="350"/>
      <c r="G56" s="350"/>
      <c r="H56" s="371">
        <f t="shared" si="2"/>
        <v>56900</v>
      </c>
      <c r="I56" s="220" t="s">
        <v>161</v>
      </c>
      <c r="J56" s="220" t="s">
        <v>1070</v>
      </c>
      <c r="K56" s="340"/>
    </row>
    <row r="57" spans="1:11" ht="15.6">
      <c r="A57" s="219">
        <v>45719</v>
      </c>
      <c r="B57" s="349" t="s">
        <v>932</v>
      </c>
      <c r="C57" s="349" t="s">
        <v>155</v>
      </c>
      <c r="D57" s="349" t="s">
        <v>120</v>
      </c>
      <c r="E57" s="350">
        <v>74000</v>
      </c>
      <c r="F57" s="372"/>
      <c r="G57" s="372"/>
      <c r="H57" s="371">
        <f t="shared" si="2"/>
        <v>130900</v>
      </c>
      <c r="I57" s="220" t="s">
        <v>161</v>
      </c>
      <c r="J57" s="220" t="s">
        <v>1071</v>
      </c>
      <c r="K57" s="340"/>
    </row>
    <row r="58" spans="1:11" ht="15.6">
      <c r="A58" s="219">
        <v>45719</v>
      </c>
      <c r="B58" s="349" t="s">
        <v>933</v>
      </c>
      <c r="C58" s="349" t="s">
        <v>155</v>
      </c>
      <c r="D58" s="349" t="s">
        <v>124</v>
      </c>
      <c r="E58" s="350">
        <v>88000</v>
      </c>
      <c r="F58" s="372"/>
      <c r="G58" s="372"/>
      <c r="H58" s="371">
        <f t="shared" si="2"/>
        <v>218900</v>
      </c>
      <c r="I58" s="220" t="s">
        <v>161</v>
      </c>
      <c r="J58" s="220" t="s">
        <v>1072</v>
      </c>
      <c r="K58" s="340"/>
    </row>
    <row r="59" spans="1:11" ht="15.6">
      <c r="A59" s="219">
        <v>45719</v>
      </c>
      <c r="B59" s="349" t="s">
        <v>934</v>
      </c>
      <c r="C59" s="349" t="s">
        <v>155</v>
      </c>
      <c r="D59" s="349" t="s">
        <v>123</v>
      </c>
      <c r="E59" s="350">
        <v>10000</v>
      </c>
      <c r="F59" s="372"/>
      <c r="G59" s="372"/>
      <c r="H59" s="371">
        <f t="shared" si="2"/>
        <v>228900</v>
      </c>
      <c r="I59" s="220" t="s">
        <v>161</v>
      </c>
      <c r="J59" s="220" t="s">
        <v>1073</v>
      </c>
      <c r="K59" s="340"/>
    </row>
    <row r="60" spans="1:11" ht="15.6">
      <c r="A60" s="219">
        <v>45719</v>
      </c>
      <c r="B60" s="349" t="s">
        <v>935</v>
      </c>
      <c r="C60" s="349" t="s">
        <v>155</v>
      </c>
      <c r="D60" s="349" t="s">
        <v>120</v>
      </c>
      <c r="E60" s="350">
        <v>10000</v>
      </c>
      <c r="F60" s="372"/>
      <c r="G60" s="372"/>
      <c r="H60" s="371">
        <f t="shared" si="2"/>
        <v>238900</v>
      </c>
      <c r="I60" s="220" t="s">
        <v>161</v>
      </c>
      <c r="J60" s="220" t="s">
        <v>1074</v>
      </c>
      <c r="K60" s="340"/>
    </row>
    <row r="61" spans="1:11" ht="15.6">
      <c r="A61" s="219">
        <v>45719</v>
      </c>
      <c r="B61" s="349" t="s">
        <v>936</v>
      </c>
      <c r="C61" s="349" t="s">
        <v>155</v>
      </c>
      <c r="D61" s="349" t="s">
        <v>124</v>
      </c>
      <c r="E61" s="350">
        <v>16000</v>
      </c>
      <c r="F61" s="372"/>
      <c r="G61" s="372"/>
      <c r="H61" s="371">
        <f t="shared" si="2"/>
        <v>254900</v>
      </c>
      <c r="I61" s="220" t="s">
        <v>161</v>
      </c>
      <c r="J61" s="220" t="s">
        <v>1075</v>
      </c>
      <c r="K61" s="340"/>
    </row>
    <row r="62" spans="1:11" ht="15.6">
      <c r="A62" s="219">
        <v>45719</v>
      </c>
      <c r="B62" s="349" t="s">
        <v>937</v>
      </c>
      <c r="C62" s="349" t="s">
        <v>155</v>
      </c>
      <c r="D62" s="349" t="s">
        <v>123</v>
      </c>
      <c r="E62" s="350">
        <v>11000</v>
      </c>
      <c r="F62" s="372"/>
      <c r="G62" s="372"/>
      <c r="H62" s="371">
        <f t="shared" si="2"/>
        <v>265900</v>
      </c>
      <c r="I62" s="220" t="s">
        <v>161</v>
      </c>
      <c r="J62" s="220" t="s">
        <v>1076</v>
      </c>
      <c r="K62" s="340"/>
    </row>
    <row r="63" spans="1:11" ht="15.6">
      <c r="A63" s="219">
        <v>45719</v>
      </c>
      <c r="B63" s="349" t="s">
        <v>938</v>
      </c>
      <c r="C63" s="349" t="s">
        <v>939</v>
      </c>
      <c r="D63" s="349" t="s">
        <v>120</v>
      </c>
      <c r="E63" s="350">
        <v>65000</v>
      </c>
      <c r="F63" s="372"/>
      <c r="G63" s="372"/>
      <c r="H63" s="371">
        <f t="shared" si="2"/>
        <v>330900</v>
      </c>
      <c r="I63" s="349" t="s">
        <v>161</v>
      </c>
      <c r="J63" s="220" t="s">
        <v>1077</v>
      </c>
      <c r="K63" s="340"/>
    </row>
    <row r="64" spans="1:11" ht="15.6">
      <c r="A64" s="219">
        <v>45719</v>
      </c>
      <c r="B64" s="349" t="s">
        <v>943</v>
      </c>
      <c r="C64" s="349" t="s">
        <v>278</v>
      </c>
      <c r="D64" s="349" t="s">
        <v>208</v>
      </c>
      <c r="E64" s="350">
        <v>45000</v>
      </c>
      <c r="F64" s="372"/>
      <c r="G64" s="372"/>
      <c r="H64" s="371">
        <f t="shared" si="2"/>
        <v>375900</v>
      </c>
      <c r="I64" s="349" t="s">
        <v>161</v>
      </c>
      <c r="J64" s="349" t="s">
        <v>1125</v>
      </c>
      <c r="K64" s="340"/>
    </row>
    <row r="65" spans="1:11" ht="15.6">
      <c r="A65" s="219">
        <v>45719</v>
      </c>
      <c r="B65" s="349" t="s">
        <v>658</v>
      </c>
      <c r="C65" s="349" t="s">
        <v>130</v>
      </c>
      <c r="D65" s="349" t="s">
        <v>123</v>
      </c>
      <c r="E65" s="372">
        <v>30000</v>
      </c>
      <c r="F65" s="372"/>
      <c r="G65" s="372"/>
      <c r="H65" s="371">
        <f t="shared" si="2"/>
        <v>405900</v>
      </c>
      <c r="I65" s="349" t="s">
        <v>161</v>
      </c>
      <c r="J65" s="349" t="s">
        <v>1126</v>
      </c>
      <c r="K65" s="340"/>
    </row>
    <row r="66" spans="1:11" ht="15.6">
      <c r="A66" s="219">
        <v>45719</v>
      </c>
      <c r="B66" s="349" t="s">
        <v>648</v>
      </c>
      <c r="C66" s="349" t="s">
        <v>130</v>
      </c>
      <c r="D66" s="349" t="s">
        <v>121</v>
      </c>
      <c r="E66" s="372">
        <v>94430</v>
      </c>
      <c r="F66" s="372"/>
      <c r="G66" s="372"/>
      <c r="H66" s="371">
        <f t="shared" si="2"/>
        <v>500330</v>
      </c>
      <c r="I66" s="349" t="s">
        <v>161</v>
      </c>
      <c r="J66" s="349" t="s">
        <v>1127</v>
      </c>
      <c r="K66" s="340"/>
    </row>
    <row r="67" spans="1:11" ht="15.6">
      <c r="A67" s="219">
        <v>45719</v>
      </c>
      <c r="B67" s="349" t="s">
        <v>944</v>
      </c>
      <c r="C67" s="349" t="s">
        <v>278</v>
      </c>
      <c r="D67" s="349" t="s">
        <v>208</v>
      </c>
      <c r="E67" s="372">
        <v>20000</v>
      </c>
      <c r="F67" s="372"/>
      <c r="G67" s="372"/>
      <c r="H67" s="371">
        <f t="shared" si="2"/>
        <v>520330</v>
      </c>
      <c r="I67" s="349" t="s">
        <v>161</v>
      </c>
      <c r="J67" s="349" t="s">
        <v>1128</v>
      </c>
      <c r="K67" s="340"/>
    </row>
    <row r="68" spans="1:11" ht="15.6">
      <c r="A68" s="219">
        <v>45719</v>
      </c>
      <c r="B68" s="349" t="s">
        <v>946</v>
      </c>
      <c r="C68" s="373" t="s">
        <v>278</v>
      </c>
      <c r="D68" s="373" t="s">
        <v>208</v>
      </c>
      <c r="E68" s="350">
        <v>45000</v>
      </c>
      <c r="F68" s="372"/>
      <c r="G68" s="372"/>
      <c r="H68" s="371">
        <f t="shared" si="2"/>
        <v>565330</v>
      </c>
      <c r="I68" s="349" t="s">
        <v>161</v>
      </c>
      <c r="J68" s="349" t="s">
        <v>1130</v>
      </c>
      <c r="K68" s="340"/>
    </row>
    <row r="69" spans="1:11" ht="15.6">
      <c r="A69" s="219">
        <v>45719</v>
      </c>
      <c r="B69" s="349" t="s">
        <v>654</v>
      </c>
      <c r="C69" s="349" t="s">
        <v>130</v>
      </c>
      <c r="D69" s="349" t="s">
        <v>120</v>
      </c>
      <c r="E69" s="350">
        <v>30000</v>
      </c>
      <c r="F69" s="372"/>
      <c r="G69" s="372"/>
      <c r="H69" s="371">
        <f t="shared" si="2"/>
        <v>595330</v>
      </c>
      <c r="I69" s="349" t="s">
        <v>161</v>
      </c>
      <c r="J69" s="349" t="s">
        <v>1131</v>
      </c>
      <c r="K69" s="340"/>
    </row>
    <row r="70" spans="1:11" ht="15.6">
      <c r="A70" s="219">
        <v>45719</v>
      </c>
      <c r="B70" s="349" t="s">
        <v>656</v>
      </c>
      <c r="C70" s="349" t="s">
        <v>130</v>
      </c>
      <c r="D70" s="349" t="s">
        <v>120</v>
      </c>
      <c r="E70" s="350">
        <v>30000</v>
      </c>
      <c r="F70" s="372"/>
      <c r="G70" s="372"/>
      <c r="H70" s="371">
        <f t="shared" si="2"/>
        <v>625330</v>
      </c>
      <c r="I70" s="349" t="s">
        <v>161</v>
      </c>
      <c r="J70" s="349" t="s">
        <v>1132</v>
      </c>
      <c r="K70" s="340"/>
    </row>
    <row r="71" spans="1:11" ht="15.6">
      <c r="A71" s="219">
        <v>45719</v>
      </c>
      <c r="B71" s="349" t="s">
        <v>931</v>
      </c>
      <c r="C71" s="349" t="s">
        <v>155</v>
      </c>
      <c r="D71" s="349" t="s">
        <v>122</v>
      </c>
      <c r="E71" s="350"/>
      <c r="F71" s="372">
        <v>47000</v>
      </c>
      <c r="G71" s="372"/>
      <c r="H71" s="371">
        <f t="shared" si="2"/>
        <v>578330</v>
      </c>
      <c r="I71" s="220" t="s">
        <v>161</v>
      </c>
      <c r="J71" s="220" t="s">
        <v>1070</v>
      </c>
      <c r="K71" s="340"/>
    </row>
    <row r="72" spans="1:11" ht="15.6">
      <c r="A72" s="219">
        <v>45719</v>
      </c>
      <c r="B72" s="349" t="s">
        <v>932</v>
      </c>
      <c r="C72" s="349" t="s">
        <v>155</v>
      </c>
      <c r="D72" s="349" t="s">
        <v>120</v>
      </c>
      <c r="E72" s="350"/>
      <c r="F72" s="372">
        <v>74000</v>
      </c>
      <c r="G72" s="372"/>
      <c r="H72" s="371">
        <f t="shared" si="2"/>
        <v>504330</v>
      </c>
      <c r="I72" s="220" t="s">
        <v>161</v>
      </c>
      <c r="J72" s="220" t="s">
        <v>1071</v>
      </c>
      <c r="K72" s="340"/>
    </row>
    <row r="73" spans="1:11" ht="15.6">
      <c r="A73" s="219">
        <v>45719</v>
      </c>
      <c r="B73" s="349" t="s">
        <v>933</v>
      </c>
      <c r="C73" s="349" t="s">
        <v>155</v>
      </c>
      <c r="D73" s="349" t="s">
        <v>124</v>
      </c>
      <c r="E73" s="350"/>
      <c r="F73" s="372">
        <v>88000</v>
      </c>
      <c r="G73" s="372"/>
      <c r="H73" s="371">
        <f t="shared" si="2"/>
        <v>416330</v>
      </c>
      <c r="I73" s="220" t="s">
        <v>161</v>
      </c>
      <c r="J73" s="220" t="s">
        <v>1072</v>
      </c>
      <c r="K73" s="340"/>
    </row>
    <row r="74" spans="1:11" ht="15.6">
      <c r="A74" s="219">
        <v>45719</v>
      </c>
      <c r="B74" s="349" t="s">
        <v>934</v>
      </c>
      <c r="C74" s="349" t="s">
        <v>155</v>
      </c>
      <c r="D74" s="349" t="s">
        <v>123</v>
      </c>
      <c r="E74" s="350"/>
      <c r="F74" s="350">
        <v>10000</v>
      </c>
      <c r="G74" s="350"/>
      <c r="H74" s="371">
        <f t="shared" si="2"/>
        <v>406330</v>
      </c>
      <c r="I74" s="220" t="s">
        <v>161</v>
      </c>
      <c r="J74" s="220" t="s">
        <v>1073</v>
      </c>
      <c r="K74" s="340"/>
    </row>
    <row r="75" spans="1:11" ht="15.6">
      <c r="A75" s="219">
        <v>45719</v>
      </c>
      <c r="B75" s="349" t="s">
        <v>935</v>
      </c>
      <c r="C75" s="349" t="s">
        <v>155</v>
      </c>
      <c r="D75" s="349" t="s">
        <v>120</v>
      </c>
      <c r="E75" s="350"/>
      <c r="F75" s="350">
        <v>10000</v>
      </c>
      <c r="G75" s="350"/>
      <c r="H75" s="371">
        <f t="shared" si="2"/>
        <v>396330</v>
      </c>
      <c r="I75" s="220" t="s">
        <v>161</v>
      </c>
      <c r="J75" s="220" t="s">
        <v>1074</v>
      </c>
      <c r="K75" s="340"/>
    </row>
    <row r="76" spans="1:11" ht="15.6">
      <c r="A76" s="219">
        <v>45719</v>
      </c>
      <c r="B76" s="349" t="s">
        <v>936</v>
      </c>
      <c r="C76" s="349" t="s">
        <v>155</v>
      </c>
      <c r="D76" s="349" t="s">
        <v>124</v>
      </c>
      <c r="E76" s="350"/>
      <c r="F76" s="350">
        <v>16000</v>
      </c>
      <c r="G76" s="350"/>
      <c r="H76" s="371">
        <f t="shared" si="2"/>
        <v>380330</v>
      </c>
      <c r="I76" s="220" t="s">
        <v>161</v>
      </c>
      <c r="J76" s="220" t="s">
        <v>1075</v>
      </c>
      <c r="K76" s="340"/>
    </row>
    <row r="77" spans="1:11" ht="15.6">
      <c r="A77" s="219">
        <v>45719</v>
      </c>
      <c r="B77" s="349" t="s">
        <v>937</v>
      </c>
      <c r="C77" s="349" t="s">
        <v>155</v>
      </c>
      <c r="D77" s="349" t="s">
        <v>123</v>
      </c>
      <c r="E77" s="350"/>
      <c r="F77" s="350">
        <v>11000</v>
      </c>
      <c r="G77" s="350"/>
      <c r="H77" s="371">
        <f t="shared" si="2"/>
        <v>369330</v>
      </c>
      <c r="I77" s="220" t="s">
        <v>161</v>
      </c>
      <c r="J77" s="220" t="s">
        <v>1076</v>
      </c>
      <c r="K77" s="340"/>
    </row>
    <row r="78" spans="1:11" ht="15.6">
      <c r="A78" s="219">
        <v>45719</v>
      </c>
      <c r="B78" s="349" t="s">
        <v>938</v>
      </c>
      <c r="C78" s="349" t="s">
        <v>939</v>
      </c>
      <c r="D78" s="349" t="s">
        <v>120</v>
      </c>
      <c r="E78" s="350"/>
      <c r="F78" s="350">
        <v>65000</v>
      </c>
      <c r="G78" s="350"/>
      <c r="H78" s="371">
        <f t="shared" si="2"/>
        <v>304330</v>
      </c>
      <c r="I78" s="349" t="s">
        <v>161</v>
      </c>
      <c r="J78" s="220" t="s">
        <v>1077</v>
      </c>
      <c r="K78" s="340"/>
    </row>
    <row r="79" spans="1:11" ht="15.6">
      <c r="A79" s="219">
        <v>45719</v>
      </c>
      <c r="B79" s="349" t="s">
        <v>943</v>
      </c>
      <c r="C79" s="349" t="s">
        <v>278</v>
      </c>
      <c r="D79" s="349" t="s">
        <v>208</v>
      </c>
      <c r="E79" s="350"/>
      <c r="F79" s="350">
        <v>45000</v>
      </c>
      <c r="G79" s="350"/>
      <c r="H79" s="371">
        <f t="shared" si="2"/>
        <v>259330</v>
      </c>
      <c r="I79" s="349" t="s">
        <v>161</v>
      </c>
      <c r="J79" s="349" t="s">
        <v>1125</v>
      </c>
      <c r="K79" s="340"/>
    </row>
    <row r="80" spans="1:11" ht="15.6">
      <c r="A80" s="219">
        <v>45719</v>
      </c>
      <c r="B80" s="349" t="s">
        <v>658</v>
      </c>
      <c r="C80" s="349" t="s">
        <v>130</v>
      </c>
      <c r="D80" s="349" t="s">
        <v>123</v>
      </c>
      <c r="E80" s="350"/>
      <c r="F80" s="350">
        <v>30000</v>
      </c>
      <c r="G80" s="350"/>
      <c r="H80" s="371">
        <f t="shared" si="2"/>
        <v>229330</v>
      </c>
      <c r="I80" s="349" t="s">
        <v>161</v>
      </c>
      <c r="J80" s="349" t="s">
        <v>1126</v>
      </c>
      <c r="K80" s="340"/>
    </row>
    <row r="81" spans="1:11" ht="15.6">
      <c r="A81" s="219">
        <v>45719</v>
      </c>
      <c r="B81" s="349" t="s">
        <v>648</v>
      </c>
      <c r="C81" s="349" t="s">
        <v>130</v>
      </c>
      <c r="D81" s="349" t="s">
        <v>121</v>
      </c>
      <c r="E81" s="350"/>
      <c r="F81" s="350">
        <v>94430</v>
      </c>
      <c r="G81" s="350"/>
      <c r="H81" s="371">
        <f t="shared" si="2"/>
        <v>134900</v>
      </c>
      <c r="I81" s="349" t="s">
        <v>161</v>
      </c>
      <c r="J81" s="349" t="s">
        <v>1127</v>
      </c>
      <c r="K81" s="340"/>
    </row>
    <row r="82" spans="1:11" ht="15.6">
      <c r="A82" s="219">
        <v>45719</v>
      </c>
      <c r="B82" s="349" t="s">
        <v>944</v>
      </c>
      <c r="C82" s="349" t="s">
        <v>278</v>
      </c>
      <c r="D82" s="349" t="s">
        <v>208</v>
      </c>
      <c r="E82" s="350"/>
      <c r="F82" s="350">
        <v>20000</v>
      </c>
      <c r="G82" s="350"/>
      <c r="H82" s="371">
        <f t="shared" si="2"/>
        <v>114900</v>
      </c>
      <c r="I82" s="349" t="s">
        <v>161</v>
      </c>
      <c r="J82" s="349" t="s">
        <v>1128</v>
      </c>
      <c r="K82" s="340"/>
    </row>
    <row r="83" spans="1:11" ht="15.6">
      <c r="A83" s="219">
        <v>45719</v>
      </c>
      <c r="B83" s="349" t="s">
        <v>946</v>
      </c>
      <c r="C83" s="373" t="s">
        <v>278</v>
      </c>
      <c r="D83" s="373" t="s">
        <v>208</v>
      </c>
      <c r="E83" s="350"/>
      <c r="F83" s="350">
        <v>45000</v>
      </c>
      <c r="G83" s="350"/>
      <c r="H83" s="371">
        <f t="shared" si="2"/>
        <v>69900</v>
      </c>
      <c r="I83" s="349" t="s">
        <v>161</v>
      </c>
      <c r="J83" s="349" t="s">
        <v>1130</v>
      </c>
      <c r="K83" s="340"/>
    </row>
    <row r="84" spans="1:11" ht="15.6">
      <c r="A84" s="219">
        <v>45719</v>
      </c>
      <c r="B84" s="349" t="s">
        <v>654</v>
      </c>
      <c r="C84" s="349" t="s">
        <v>130</v>
      </c>
      <c r="D84" s="349" t="s">
        <v>120</v>
      </c>
      <c r="E84" s="350"/>
      <c r="F84" s="350">
        <v>30000</v>
      </c>
      <c r="G84" s="350"/>
      <c r="H84" s="371">
        <f t="shared" si="2"/>
        <v>39900</v>
      </c>
      <c r="I84" s="349" t="s">
        <v>161</v>
      </c>
      <c r="J84" s="349" t="s">
        <v>1131</v>
      </c>
      <c r="K84" s="340"/>
    </row>
    <row r="85" spans="1:11" ht="15.6">
      <c r="A85" s="219">
        <v>45719</v>
      </c>
      <c r="B85" s="349" t="s">
        <v>656</v>
      </c>
      <c r="C85" s="349" t="s">
        <v>130</v>
      </c>
      <c r="D85" s="349" t="s">
        <v>120</v>
      </c>
      <c r="E85" s="350"/>
      <c r="F85" s="350">
        <v>30000</v>
      </c>
      <c r="G85" s="350"/>
      <c r="H85" s="371">
        <f t="shared" si="2"/>
        <v>9900</v>
      </c>
      <c r="I85" s="349" t="s">
        <v>161</v>
      </c>
      <c r="J85" s="349" t="s">
        <v>1132</v>
      </c>
      <c r="K85" s="340"/>
    </row>
    <row r="86" spans="1:11" ht="15.6">
      <c r="A86" s="370">
        <v>45720</v>
      </c>
      <c r="B86" s="349" t="s">
        <v>1246</v>
      </c>
      <c r="C86" s="349" t="s">
        <v>179</v>
      </c>
      <c r="D86" s="349" t="s">
        <v>121</v>
      </c>
      <c r="E86" s="371"/>
      <c r="F86" s="371">
        <v>9900</v>
      </c>
      <c r="G86" s="371"/>
      <c r="H86" s="371">
        <f t="shared" si="2"/>
        <v>0</v>
      </c>
      <c r="I86" s="349" t="s">
        <v>161</v>
      </c>
      <c r="J86" s="349" t="s">
        <v>1480</v>
      </c>
      <c r="K86" s="340"/>
    </row>
    <row r="87" spans="1:11" ht="15.6">
      <c r="A87" s="219">
        <v>45720</v>
      </c>
      <c r="B87" s="349" t="s">
        <v>949</v>
      </c>
      <c r="C87" s="349" t="s">
        <v>130</v>
      </c>
      <c r="D87" s="349" t="s">
        <v>121</v>
      </c>
      <c r="E87" s="372">
        <v>131428</v>
      </c>
      <c r="F87" s="372"/>
      <c r="G87" s="372"/>
      <c r="H87" s="371">
        <f t="shared" si="2"/>
        <v>131428</v>
      </c>
      <c r="I87" s="349" t="s">
        <v>161</v>
      </c>
      <c r="J87" s="220" t="s">
        <v>1080</v>
      </c>
      <c r="K87" s="360"/>
    </row>
    <row r="88" spans="1:11" ht="15.6">
      <c r="A88" s="219">
        <v>45720</v>
      </c>
      <c r="B88" s="349" t="s">
        <v>954</v>
      </c>
      <c r="C88" s="349" t="s">
        <v>179</v>
      </c>
      <c r="D88" s="349" t="s">
        <v>120</v>
      </c>
      <c r="E88" s="372">
        <v>20000</v>
      </c>
      <c r="F88" s="372"/>
      <c r="G88" s="372"/>
      <c r="H88" s="371">
        <f t="shared" si="2"/>
        <v>151428</v>
      </c>
      <c r="I88" s="349" t="s">
        <v>161</v>
      </c>
      <c r="J88" s="220" t="s">
        <v>1085</v>
      </c>
      <c r="K88" s="340"/>
    </row>
    <row r="89" spans="1:11" ht="15.6">
      <c r="A89" s="219">
        <v>45720</v>
      </c>
      <c r="B89" s="349" t="s">
        <v>955</v>
      </c>
      <c r="C89" s="349" t="s">
        <v>953</v>
      </c>
      <c r="D89" s="349" t="s">
        <v>120</v>
      </c>
      <c r="E89" s="372">
        <v>50000</v>
      </c>
      <c r="F89" s="372"/>
      <c r="G89" s="372"/>
      <c r="H89" s="371">
        <f t="shared" si="2"/>
        <v>201428</v>
      </c>
      <c r="I89" s="349" t="s">
        <v>161</v>
      </c>
      <c r="J89" s="220" t="s">
        <v>1086</v>
      </c>
      <c r="K89" s="340"/>
    </row>
    <row r="90" spans="1:11" ht="15.6">
      <c r="A90" s="219">
        <v>45720</v>
      </c>
      <c r="B90" s="349" t="s">
        <v>650</v>
      </c>
      <c r="C90" s="349" t="s">
        <v>130</v>
      </c>
      <c r="D90" s="349" t="s">
        <v>120</v>
      </c>
      <c r="E90" s="350">
        <v>30000</v>
      </c>
      <c r="F90" s="350"/>
      <c r="G90" s="350"/>
      <c r="H90" s="371">
        <f t="shared" si="2"/>
        <v>231428</v>
      </c>
      <c r="I90" s="349" t="s">
        <v>161</v>
      </c>
      <c r="J90" s="349" t="s">
        <v>1134</v>
      </c>
      <c r="K90" s="340"/>
    </row>
    <row r="91" spans="1:11" ht="15.6">
      <c r="A91" s="219">
        <v>45720</v>
      </c>
      <c r="B91" s="349" t="s">
        <v>956</v>
      </c>
      <c r="C91" s="349" t="s">
        <v>278</v>
      </c>
      <c r="D91" s="349" t="s">
        <v>208</v>
      </c>
      <c r="E91" s="350">
        <v>50000</v>
      </c>
      <c r="F91" s="350"/>
      <c r="G91" s="350"/>
      <c r="H91" s="371">
        <f t="shared" si="2"/>
        <v>281428</v>
      </c>
      <c r="I91" s="349" t="s">
        <v>161</v>
      </c>
      <c r="J91" s="349" t="s">
        <v>1135</v>
      </c>
      <c r="K91" s="340"/>
    </row>
    <row r="92" spans="1:11" ht="15.6">
      <c r="A92" s="219">
        <v>45720</v>
      </c>
      <c r="B92" s="349" t="s">
        <v>949</v>
      </c>
      <c r="C92" s="349" t="s">
        <v>130</v>
      </c>
      <c r="D92" s="349" t="s">
        <v>121</v>
      </c>
      <c r="E92" s="350"/>
      <c r="F92" s="350">
        <v>131428</v>
      </c>
      <c r="G92" s="350"/>
      <c r="H92" s="371">
        <f t="shared" si="2"/>
        <v>150000</v>
      </c>
      <c r="I92" s="349" t="s">
        <v>161</v>
      </c>
      <c r="J92" s="220" t="s">
        <v>1080</v>
      </c>
      <c r="K92" s="340"/>
    </row>
    <row r="93" spans="1:11" ht="15.6">
      <c r="A93" s="219">
        <v>45720</v>
      </c>
      <c r="B93" s="349" t="s">
        <v>954</v>
      </c>
      <c r="C93" s="349" t="s">
        <v>179</v>
      </c>
      <c r="D93" s="349" t="s">
        <v>120</v>
      </c>
      <c r="E93" s="350"/>
      <c r="F93" s="350">
        <v>20000</v>
      </c>
      <c r="G93" s="350"/>
      <c r="H93" s="371">
        <f t="shared" si="2"/>
        <v>130000</v>
      </c>
      <c r="I93" s="349" t="s">
        <v>161</v>
      </c>
      <c r="J93" s="220" t="s">
        <v>1085</v>
      </c>
      <c r="K93" s="340"/>
    </row>
    <row r="94" spans="1:11" ht="15.6">
      <c r="A94" s="219">
        <v>45720</v>
      </c>
      <c r="B94" s="349" t="s">
        <v>955</v>
      </c>
      <c r="C94" s="349" t="s">
        <v>953</v>
      </c>
      <c r="D94" s="349" t="s">
        <v>120</v>
      </c>
      <c r="E94" s="350"/>
      <c r="F94" s="350">
        <v>50000</v>
      </c>
      <c r="G94" s="350"/>
      <c r="H94" s="371">
        <f t="shared" si="2"/>
        <v>80000</v>
      </c>
      <c r="I94" s="349" t="s">
        <v>161</v>
      </c>
      <c r="J94" s="220" t="s">
        <v>1086</v>
      </c>
      <c r="K94" s="340"/>
    </row>
    <row r="95" spans="1:11" ht="15.6">
      <c r="A95" s="219">
        <v>45720</v>
      </c>
      <c r="B95" s="349" t="s">
        <v>650</v>
      </c>
      <c r="C95" s="349" t="s">
        <v>130</v>
      </c>
      <c r="D95" s="349" t="s">
        <v>120</v>
      </c>
      <c r="E95" s="350"/>
      <c r="F95" s="350">
        <v>30000</v>
      </c>
      <c r="G95" s="350"/>
      <c r="H95" s="371">
        <f t="shared" si="2"/>
        <v>50000</v>
      </c>
      <c r="I95" s="349" t="s">
        <v>161</v>
      </c>
      <c r="J95" s="349" t="s">
        <v>1134</v>
      </c>
      <c r="K95" s="340"/>
    </row>
    <row r="96" spans="1:11" ht="15.6">
      <c r="A96" s="219">
        <v>45720</v>
      </c>
      <c r="B96" s="349" t="s">
        <v>956</v>
      </c>
      <c r="C96" s="349" t="s">
        <v>278</v>
      </c>
      <c r="D96" s="349" t="s">
        <v>208</v>
      </c>
      <c r="E96" s="350"/>
      <c r="F96" s="350">
        <v>50000</v>
      </c>
      <c r="G96" s="350"/>
      <c r="H96" s="371">
        <f t="shared" si="2"/>
        <v>0</v>
      </c>
      <c r="I96" s="349" t="s">
        <v>161</v>
      </c>
      <c r="J96" s="349" t="s">
        <v>1135</v>
      </c>
      <c r="K96" s="340"/>
    </row>
    <row r="97" spans="1:11" ht="15.6">
      <c r="A97" s="219">
        <v>45726</v>
      </c>
      <c r="B97" s="349" t="s">
        <v>960</v>
      </c>
      <c r="C97" s="349" t="s">
        <v>130</v>
      </c>
      <c r="D97" s="349" t="s">
        <v>120</v>
      </c>
      <c r="E97" s="350">
        <v>30000</v>
      </c>
      <c r="F97" s="350"/>
      <c r="G97" s="350"/>
      <c r="H97" s="371">
        <f t="shared" si="2"/>
        <v>30000</v>
      </c>
      <c r="I97" s="349" t="s">
        <v>161</v>
      </c>
      <c r="J97" s="349" t="s">
        <v>1136</v>
      </c>
      <c r="K97" s="340"/>
    </row>
    <row r="98" spans="1:11" ht="15.6">
      <c r="A98" s="219">
        <v>45726</v>
      </c>
      <c r="B98" s="349" t="s">
        <v>961</v>
      </c>
      <c r="C98" s="349" t="s">
        <v>278</v>
      </c>
      <c r="D98" s="349" t="s">
        <v>208</v>
      </c>
      <c r="E98" s="350">
        <v>45000</v>
      </c>
      <c r="F98" s="350"/>
      <c r="G98" s="350"/>
      <c r="H98" s="371">
        <f t="shared" si="2"/>
        <v>75000</v>
      </c>
      <c r="I98" s="349" t="s">
        <v>161</v>
      </c>
      <c r="J98" s="349" t="s">
        <v>1137</v>
      </c>
      <c r="K98" s="340"/>
    </row>
    <row r="99" spans="1:11" ht="15.6">
      <c r="A99" s="219">
        <v>45726</v>
      </c>
      <c r="B99" s="349" t="s">
        <v>960</v>
      </c>
      <c r="C99" s="349" t="s">
        <v>130</v>
      </c>
      <c r="D99" s="349" t="s">
        <v>120</v>
      </c>
      <c r="E99" s="350"/>
      <c r="F99" s="350">
        <v>30000</v>
      </c>
      <c r="G99" s="350"/>
      <c r="H99" s="371">
        <f t="shared" si="2"/>
        <v>45000</v>
      </c>
      <c r="I99" s="349" t="s">
        <v>161</v>
      </c>
      <c r="J99" s="349" t="s">
        <v>1136</v>
      </c>
      <c r="K99" s="340"/>
    </row>
    <row r="100" spans="1:11" ht="15.6">
      <c r="A100" s="219">
        <v>45726</v>
      </c>
      <c r="B100" s="349" t="s">
        <v>961</v>
      </c>
      <c r="C100" s="349" t="s">
        <v>278</v>
      </c>
      <c r="D100" s="349" t="s">
        <v>208</v>
      </c>
      <c r="E100" s="350"/>
      <c r="F100" s="350">
        <v>45000</v>
      </c>
      <c r="G100" s="350"/>
      <c r="H100" s="371">
        <f t="shared" si="2"/>
        <v>0</v>
      </c>
      <c r="I100" s="349" t="s">
        <v>161</v>
      </c>
      <c r="J100" s="349" t="s">
        <v>1137</v>
      </c>
      <c r="K100" s="340"/>
    </row>
    <row r="101" spans="1:11" ht="15.6">
      <c r="A101" s="408"/>
      <c r="B101" s="409"/>
      <c r="C101" s="409"/>
      <c r="D101" s="410"/>
      <c r="E101" s="321">
        <f>SUM(E54:E100)</f>
        <v>981858</v>
      </c>
      <c r="F101" s="321">
        <f>SUM(F54:F100)</f>
        <v>981758</v>
      </c>
      <c r="G101" s="321"/>
      <c r="H101" s="374">
        <f>E101-F101+H54</f>
        <v>0</v>
      </c>
      <c r="I101" s="320"/>
      <c r="J101" s="320"/>
      <c r="K101" s="322"/>
    </row>
    <row r="102" spans="1:11" ht="15.6">
      <c r="A102" s="323"/>
      <c r="B102" s="323"/>
      <c r="C102" s="323"/>
      <c r="D102" s="323"/>
      <c r="E102" s="324"/>
      <c r="F102" s="324"/>
      <c r="G102" s="324"/>
      <c r="H102" s="325"/>
      <c r="I102" s="322"/>
      <c r="J102" s="322"/>
      <c r="K102" s="322"/>
    </row>
    <row r="103" spans="1:11" ht="15.6">
      <c r="A103" s="365"/>
      <c r="B103" s="340"/>
      <c r="C103" s="340"/>
      <c r="D103" s="340"/>
      <c r="E103" s="354"/>
      <c r="F103" s="354"/>
      <c r="G103" s="354"/>
      <c r="H103" s="355"/>
      <c r="I103" s="340"/>
      <c r="J103" s="340"/>
      <c r="K103" s="322"/>
    </row>
    <row r="104" spans="1:11" ht="15.6">
      <c r="A104" s="365"/>
      <c r="B104" s="340"/>
      <c r="C104" s="353" t="s">
        <v>740</v>
      </c>
      <c r="D104" s="340"/>
      <c r="E104" s="354"/>
      <c r="F104" s="354"/>
      <c r="G104" s="354"/>
      <c r="H104" s="355"/>
      <c r="I104" s="340"/>
      <c r="J104" s="340"/>
      <c r="K104" s="322"/>
    </row>
    <row r="105" spans="1:11" ht="15.6">
      <c r="A105" s="365"/>
      <c r="B105" s="340"/>
      <c r="C105" s="340"/>
      <c r="D105" s="340"/>
      <c r="E105" s="354"/>
      <c r="F105" s="354"/>
      <c r="G105" s="354"/>
      <c r="H105" s="355"/>
      <c r="I105" s="340"/>
      <c r="J105" s="340"/>
      <c r="K105" s="322"/>
    </row>
    <row r="106" spans="1:11" ht="15.6">
      <c r="A106" s="367" t="s">
        <v>0</v>
      </c>
      <c r="B106" s="357" t="s">
        <v>515</v>
      </c>
      <c r="C106" s="357" t="s">
        <v>517</v>
      </c>
      <c r="D106" s="357" t="s">
        <v>516</v>
      </c>
      <c r="E106" s="358" t="s">
        <v>518</v>
      </c>
      <c r="F106" s="358" t="s">
        <v>519</v>
      </c>
      <c r="G106" s="358"/>
      <c r="H106" s="368" t="s">
        <v>30</v>
      </c>
      <c r="I106" s="357" t="s">
        <v>520</v>
      </c>
      <c r="J106" s="357" t="s">
        <v>521</v>
      </c>
      <c r="K106" s="322"/>
    </row>
    <row r="107" spans="1:11" ht="15.6">
      <c r="A107" s="319">
        <v>45717</v>
      </c>
      <c r="B107" s="349" t="s">
        <v>1228</v>
      </c>
      <c r="C107" s="349"/>
      <c r="D107" s="349"/>
      <c r="E107" s="349"/>
      <c r="F107" s="349"/>
      <c r="G107" s="349"/>
      <c r="H107" s="369">
        <v>13000</v>
      </c>
      <c r="I107" s="349" t="s">
        <v>673</v>
      </c>
      <c r="J107" s="349"/>
      <c r="K107" s="322"/>
    </row>
    <row r="108" spans="1:11" ht="15.6">
      <c r="A108" s="326">
        <v>45719</v>
      </c>
      <c r="B108" s="349" t="s">
        <v>940</v>
      </c>
      <c r="C108" s="375" t="s">
        <v>176</v>
      </c>
      <c r="D108" s="349" t="s">
        <v>121</v>
      </c>
      <c r="E108" s="350">
        <v>25000</v>
      </c>
      <c r="F108" s="350"/>
      <c r="G108" s="350"/>
      <c r="H108" s="371">
        <f t="shared" ref="H108:H157" si="3">+H107+E108-F108</f>
        <v>38000</v>
      </c>
      <c r="I108" s="349" t="s">
        <v>673</v>
      </c>
      <c r="J108" s="220" t="s">
        <v>1078</v>
      </c>
      <c r="K108" s="322"/>
    </row>
    <row r="109" spans="1:11" ht="15.6">
      <c r="A109" s="326">
        <v>45719</v>
      </c>
      <c r="B109" s="349" t="s">
        <v>945</v>
      </c>
      <c r="C109" s="349" t="s">
        <v>130</v>
      </c>
      <c r="D109" s="349" t="s">
        <v>121</v>
      </c>
      <c r="E109" s="350">
        <v>15000</v>
      </c>
      <c r="F109" s="350"/>
      <c r="G109" s="350"/>
      <c r="H109" s="371">
        <f t="shared" si="3"/>
        <v>53000</v>
      </c>
      <c r="I109" s="349" t="s">
        <v>673</v>
      </c>
      <c r="J109" s="349" t="s">
        <v>1129</v>
      </c>
      <c r="K109" s="322"/>
    </row>
    <row r="110" spans="1:11" ht="15.6">
      <c r="A110" s="326">
        <v>45719</v>
      </c>
      <c r="B110" s="349" t="s">
        <v>940</v>
      </c>
      <c r="C110" s="349" t="s">
        <v>176</v>
      </c>
      <c r="D110" s="349" t="s">
        <v>121</v>
      </c>
      <c r="E110" s="350"/>
      <c r="F110" s="372">
        <v>25000</v>
      </c>
      <c r="G110" s="372"/>
      <c r="H110" s="371">
        <f t="shared" si="3"/>
        <v>28000</v>
      </c>
      <c r="I110" s="349" t="s">
        <v>673</v>
      </c>
      <c r="J110" s="220" t="s">
        <v>1078</v>
      </c>
      <c r="K110" s="322"/>
    </row>
    <row r="111" spans="1:11" ht="15.6">
      <c r="A111" s="326">
        <v>45719</v>
      </c>
      <c r="B111" s="349" t="s">
        <v>945</v>
      </c>
      <c r="C111" s="349" t="s">
        <v>130</v>
      </c>
      <c r="D111" s="349" t="s">
        <v>121</v>
      </c>
      <c r="E111" s="350"/>
      <c r="F111" s="372">
        <v>15000</v>
      </c>
      <c r="G111" s="372"/>
      <c r="H111" s="371">
        <f t="shared" si="3"/>
        <v>13000</v>
      </c>
      <c r="I111" s="349" t="s">
        <v>673</v>
      </c>
      <c r="J111" s="349" t="s">
        <v>1129</v>
      </c>
      <c r="K111" s="322"/>
    </row>
    <row r="112" spans="1:11" ht="15.6">
      <c r="A112" s="326">
        <v>45720</v>
      </c>
      <c r="B112" s="349" t="s">
        <v>951</v>
      </c>
      <c r="C112" s="349" t="s">
        <v>189</v>
      </c>
      <c r="D112" s="349" t="s">
        <v>121</v>
      </c>
      <c r="E112" s="350">
        <v>8700</v>
      </c>
      <c r="F112" s="350"/>
      <c r="G112" s="350"/>
      <c r="H112" s="371">
        <f t="shared" si="3"/>
        <v>21700</v>
      </c>
      <c r="I112" s="349" t="s">
        <v>673</v>
      </c>
      <c r="J112" s="220" t="s">
        <v>1083</v>
      </c>
      <c r="K112" s="322"/>
    </row>
    <row r="113" spans="1:11" ht="15.6">
      <c r="A113" s="326">
        <v>45720</v>
      </c>
      <c r="B113" s="349" t="s">
        <v>952</v>
      </c>
      <c r="C113" s="349" t="s">
        <v>953</v>
      </c>
      <c r="D113" s="349" t="s">
        <v>120</v>
      </c>
      <c r="E113" s="350">
        <v>100000</v>
      </c>
      <c r="F113" s="372"/>
      <c r="G113" s="372"/>
      <c r="H113" s="371">
        <f t="shared" si="3"/>
        <v>121700</v>
      </c>
      <c r="I113" s="349" t="s">
        <v>673</v>
      </c>
      <c r="J113" s="220" t="s">
        <v>1084</v>
      </c>
      <c r="K113" s="322"/>
    </row>
    <row r="114" spans="1:11" ht="15.6">
      <c r="A114" s="326">
        <v>45720</v>
      </c>
      <c r="B114" s="349" t="s">
        <v>951</v>
      </c>
      <c r="C114" s="349" t="s">
        <v>189</v>
      </c>
      <c r="D114" s="349" t="s">
        <v>121</v>
      </c>
      <c r="E114" s="350"/>
      <c r="F114" s="350">
        <v>8700</v>
      </c>
      <c r="G114" s="350"/>
      <c r="H114" s="371">
        <f t="shared" si="3"/>
        <v>113000</v>
      </c>
      <c r="I114" s="349" t="s">
        <v>673</v>
      </c>
      <c r="J114" s="220" t="s">
        <v>1083</v>
      </c>
      <c r="K114" s="322"/>
    </row>
    <row r="115" spans="1:11" ht="15.6">
      <c r="A115" s="326">
        <v>45720</v>
      </c>
      <c r="B115" s="349" t="s">
        <v>952</v>
      </c>
      <c r="C115" s="349" t="s">
        <v>953</v>
      </c>
      <c r="D115" s="349" t="s">
        <v>120</v>
      </c>
      <c r="E115" s="350"/>
      <c r="F115" s="350">
        <v>100000</v>
      </c>
      <c r="G115" s="350"/>
      <c r="H115" s="371">
        <f t="shared" si="3"/>
        <v>13000</v>
      </c>
      <c r="I115" s="349" t="s">
        <v>673</v>
      </c>
      <c r="J115" s="220" t="s">
        <v>1084</v>
      </c>
      <c r="K115" s="322"/>
    </row>
    <row r="116" spans="1:11" ht="15.6">
      <c r="A116" s="326">
        <v>45727</v>
      </c>
      <c r="B116" s="349" t="s">
        <v>963</v>
      </c>
      <c r="C116" s="349" t="s">
        <v>130</v>
      </c>
      <c r="D116" s="349" t="s">
        <v>964</v>
      </c>
      <c r="E116" s="350">
        <v>112000</v>
      </c>
      <c r="F116" s="350"/>
      <c r="G116" s="350"/>
      <c r="H116" s="371">
        <f t="shared" si="3"/>
        <v>125000</v>
      </c>
      <c r="I116" s="349" t="s">
        <v>673</v>
      </c>
      <c r="J116" s="220" t="s">
        <v>1092</v>
      </c>
      <c r="K116" s="322"/>
    </row>
    <row r="117" spans="1:11" ht="15.6">
      <c r="A117" s="326">
        <v>45727</v>
      </c>
      <c r="B117" s="349" t="s">
        <v>963</v>
      </c>
      <c r="C117" s="349" t="s">
        <v>130</v>
      </c>
      <c r="D117" s="349" t="s">
        <v>964</v>
      </c>
      <c r="E117" s="350"/>
      <c r="F117" s="350">
        <v>112000</v>
      </c>
      <c r="G117" s="350"/>
      <c r="H117" s="371">
        <f t="shared" si="3"/>
        <v>13000</v>
      </c>
      <c r="I117" s="349" t="s">
        <v>673</v>
      </c>
      <c r="J117" s="220" t="s">
        <v>1092</v>
      </c>
      <c r="K117" s="322"/>
    </row>
    <row r="118" spans="1:11" ht="15.6">
      <c r="A118" s="326">
        <v>45728</v>
      </c>
      <c r="B118" s="349" t="s">
        <v>642</v>
      </c>
      <c r="C118" s="349" t="s">
        <v>176</v>
      </c>
      <c r="D118" s="349" t="s">
        <v>121</v>
      </c>
      <c r="E118" s="350">
        <v>56550</v>
      </c>
      <c r="F118" s="372"/>
      <c r="G118" s="372"/>
      <c r="H118" s="371">
        <f t="shared" si="3"/>
        <v>69550</v>
      </c>
      <c r="I118" s="349" t="s">
        <v>673</v>
      </c>
      <c r="J118" s="220" t="s">
        <v>1094</v>
      </c>
      <c r="K118" s="322"/>
    </row>
    <row r="119" spans="1:11" ht="15.6">
      <c r="A119" s="326">
        <v>45728</v>
      </c>
      <c r="B119" s="349" t="s">
        <v>965</v>
      </c>
      <c r="C119" s="349" t="s">
        <v>155</v>
      </c>
      <c r="D119" s="349" t="s">
        <v>120</v>
      </c>
      <c r="E119" s="350">
        <v>15000</v>
      </c>
      <c r="F119" s="372"/>
      <c r="G119" s="372"/>
      <c r="H119" s="371">
        <f t="shared" si="3"/>
        <v>84550</v>
      </c>
      <c r="I119" s="349" t="s">
        <v>673</v>
      </c>
      <c r="J119" s="220" t="s">
        <v>1095</v>
      </c>
      <c r="K119" s="322"/>
    </row>
    <row r="120" spans="1:11" ht="15.6">
      <c r="A120" s="326">
        <v>45728</v>
      </c>
      <c r="B120" s="349" t="s">
        <v>642</v>
      </c>
      <c r="C120" s="349" t="s">
        <v>176</v>
      </c>
      <c r="D120" s="349" t="s">
        <v>121</v>
      </c>
      <c r="E120" s="350"/>
      <c r="F120" s="372">
        <v>56550</v>
      </c>
      <c r="G120" s="372"/>
      <c r="H120" s="371">
        <f t="shared" si="3"/>
        <v>28000</v>
      </c>
      <c r="I120" s="349" t="s">
        <v>673</v>
      </c>
      <c r="J120" s="220" t="s">
        <v>1094</v>
      </c>
      <c r="K120" s="322"/>
    </row>
    <row r="121" spans="1:11" ht="15.6">
      <c r="A121" s="326">
        <v>45728</v>
      </c>
      <c r="B121" s="349" t="s">
        <v>965</v>
      </c>
      <c r="C121" s="349" t="s">
        <v>155</v>
      </c>
      <c r="D121" s="349" t="s">
        <v>120</v>
      </c>
      <c r="E121" s="350"/>
      <c r="F121" s="372">
        <v>15000</v>
      </c>
      <c r="G121" s="372"/>
      <c r="H121" s="371">
        <f t="shared" si="3"/>
        <v>13000</v>
      </c>
      <c r="I121" s="349" t="s">
        <v>673</v>
      </c>
      <c r="J121" s="220" t="s">
        <v>1095</v>
      </c>
      <c r="K121" s="322"/>
    </row>
    <row r="122" spans="1:11" ht="15.6">
      <c r="A122" s="326">
        <v>45729</v>
      </c>
      <c r="B122" s="349" t="s">
        <v>741</v>
      </c>
      <c r="C122" s="371" t="s">
        <v>127</v>
      </c>
      <c r="D122" s="349"/>
      <c r="E122" s="371">
        <v>20000</v>
      </c>
      <c r="F122" s="372"/>
      <c r="G122" s="372"/>
      <c r="H122" s="371">
        <f t="shared" si="3"/>
        <v>33000</v>
      </c>
      <c r="I122" s="349" t="s">
        <v>673</v>
      </c>
      <c r="J122" s="349" t="s">
        <v>1247</v>
      </c>
      <c r="K122" s="322"/>
    </row>
    <row r="123" spans="1:11" ht="15.6">
      <c r="A123" s="326">
        <v>45733</v>
      </c>
      <c r="B123" s="349" t="s">
        <v>968</v>
      </c>
      <c r="C123" s="349" t="s">
        <v>189</v>
      </c>
      <c r="D123" s="349" t="s">
        <v>121</v>
      </c>
      <c r="E123" s="350">
        <v>12690</v>
      </c>
      <c r="F123" s="372"/>
      <c r="G123" s="372"/>
      <c r="H123" s="371">
        <f t="shared" si="3"/>
        <v>45690</v>
      </c>
      <c r="I123" s="349" t="s">
        <v>673</v>
      </c>
      <c r="J123" s="220" t="s">
        <v>1097</v>
      </c>
      <c r="K123" s="322"/>
    </row>
    <row r="124" spans="1:11" ht="15.6">
      <c r="A124" s="326">
        <v>45733</v>
      </c>
      <c r="B124" s="349" t="s">
        <v>969</v>
      </c>
      <c r="C124" s="349" t="s">
        <v>155</v>
      </c>
      <c r="D124" s="349" t="s">
        <v>122</v>
      </c>
      <c r="E124" s="350">
        <v>20000</v>
      </c>
      <c r="F124" s="372"/>
      <c r="G124" s="372"/>
      <c r="H124" s="371">
        <f t="shared" si="3"/>
        <v>65690</v>
      </c>
      <c r="I124" s="349" t="s">
        <v>673</v>
      </c>
      <c r="J124" s="220" t="s">
        <v>1098</v>
      </c>
      <c r="K124" s="322"/>
    </row>
    <row r="125" spans="1:11" ht="15.6">
      <c r="A125" s="326">
        <v>45733</v>
      </c>
      <c r="B125" s="349" t="s">
        <v>970</v>
      </c>
      <c r="C125" s="349" t="s">
        <v>155</v>
      </c>
      <c r="D125" s="349" t="s">
        <v>120</v>
      </c>
      <c r="E125" s="350">
        <v>30000</v>
      </c>
      <c r="F125" s="350"/>
      <c r="G125" s="350"/>
      <c r="H125" s="371">
        <f t="shared" si="3"/>
        <v>95690</v>
      </c>
      <c r="I125" s="349" t="s">
        <v>673</v>
      </c>
      <c r="J125" s="220" t="s">
        <v>1099</v>
      </c>
      <c r="K125" s="322"/>
    </row>
    <row r="126" spans="1:11" ht="15.6">
      <c r="A126" s="326">
        <v>45733</v>
      </c>
      <c r="B126" s="349" t="s">
        <v>971</v>
      </c>
      <c r="C126" s="349" t="s">
        <v>155</v>
      </c>
      <c r="D126" s="349" t="s">
        <v>124</v>
      </c>
      <c r="E126" s="350">
        <v>55000</v>
      </c>
      <c r="F126" s="350"/>
      <c r="G126" s="350"/>
      <c r="H126" s="371">
        <f t="shared" si="3"/>
        <v>150690</v>
      </c>
      <c r="I126" s="349" t="s">
        <v>673</v>
      </c>
      <c r="J126" s="220" t="s">
        <v>1100</v>
      </c>
      <c r="K126" s="322"/>
    </row>
    <row r="127" spans="1:11" ht="15.6">
      <c r="A127" s="326">
        <v>45733</v>
      </c>
      <c r="B127" s="349" t="s">
        <v>972</v>
      </c>
      <c r="C127" s="349" t="s">
        <v>155</v>
      </c>
      <c r="D127" s="349" t="s">
        <v>123</v>
      </c>
      <c r="E127" s="350">
        <v>10000</v>
      </c>
      <c r="F127" s="350"/>
      <c r="G127" s="350"/>
      <c r="H127" s="371">
        <f t="shared" si="3"/>
        <v>160690</v>
      </c>
      <c r="I127" s="349" t="s">
        <v>673</v>
      </c>
      <c r="J127" s="220" t="s">
        <v>1101</v>
      </c>
      <c r="K127" s="322"/>
    </row>
    <row r="128" spans="1:11" ht="15.6">
      <c r="A128" s="326">
        <v>45733</v>
      </c>
      <c r="B128" s="349" t="s">
        <v>973</v>
      </c>
      <c r="C128" s="349" t="s">
        <v>155</v>
      </c>
      <c r="D128" s="349" t="s">
        <v>120</v>
      </c>
      <c r="E128" s="350">
        <v>10000</v>
      </c>
      <c r="F128" s="350"/>
      <c r="G128" s="350"/>
      <c r="H128" s="371">
        <f t="shared" si="3"/>
        <v>170690</v>
      </c>
      <c r="I128" s="349" t="s">
        <v>673</v>
      </c>
      <c r="J128" s="220" t="s">
        <v>1102</v>
      </c>
      <c r="K128" s="322"/>
    </row>
    <row r="129" spans="1:11" ht="15.6">
      <c r="A129" s="326">
        <v>45733</v>
      </c>
      <c r="B129" s="349" t="s">
        <v>974</v>
      </c>
      <c r="C129" s="349" t="s">
        <v>155</v>
      </c>
      <c r="D129" s="349" t="s">
        <v>124</v>
      </c>
      <c r="E129" s="350">
        <v>5000</v>
      </c>
      <c r="F129" s="372"/>
      <c r="G129" s="372"/>
      <c r="H129" s="371">
        <f t="shared" si="3"/>
        <v>175690</v>
      </c>
      <c r="I129" s="349" t="s">
        <v>673</v>
      </c>
      <c r="J129" s="220" t="s">
        <v>1103</v>
      </c>
      <c r="K129" s="322"/>
    </row>
    <row r="130" spans="1:11" ht="15.6">
      <c r="A130" s="326">
        <v>45733</v>
      </c>
      <c r="B130" s="349" t="s">
        <v>968</v>
      </c>
      <c r="C130" s="349" t="s">
        <v>189</v>
      </c>
      <c r="D130" s="349" t="s">
        <v>121</v>
      </c>
      <c r="E130" s="350"/>
      <c r="F130" s="350">
        <v>12690</v>
      </c>
      <c r="G130" s="350"/>
      <c r="H130" s="371">
        <f t="shared" si="3"/>
        <v>163000</v>
      </c>
      <c r="I130" s="349" t="s">
        <v>673</v>
      </c>
      <c r="J130" s="220" t="s">
        <v>1097</v>
      </c>
      <c r="K130" s="322"/>
    </row>
    <row r="131" spans="1:11" ht="15.6">
      <c r="A131" s="326">
        <v>45733</v>
      </c>
      <c r="B131" s="349" t="s">
        <v>969</v>
      </c>
      <c r="C131" s="349" t="s">
        <v>155</v>
      </c>
      <c r="D131" s="349" t="s">
        <v>122</v>
      </c>
      <c r="E131" s="350"/>
      <c r="F131" s="350">
        <v>20000</v>
      </c>
      <c r="G131" s="350"/>
      <c r="H131" s="371">
        <f t="shared" si="3"/>
        <v>143000</v>
      </c>
      <c r="I131" s="349" t="s">
        <v>673</v>
      </c>
      <c r="J131" s="220" t="s">
        <v>1098</v>
      </c>
      <c r="K131" s="322"/>
    </row>
    <row r="132" spans="1:11" ht="15.6">
      <c r="A132" s="326">
        <v>45733</v>
      </c>
      <c r="B132" s="349" t="s">
        <v>970</v>
      </c>
      <c r="C132" s="349" t="s">
        <v>155</v>
      </c>
      <c r="D132" s="349" t="s">
        <v>120</v>
      </c>
      <c r="E132" s="350"/>
      <c r="F132" s="350">
        <v>30000</v>
      </c>
      <c r="G132" s="350"/>
      <c r="H132" s="371">
        <f t="shared" si="3"/>
        <v>113000</v>
      </c>
      <c r="I132" s="349" t="s">
        <v>673</v>
      </c>
      <c r="J132" s="220" t="s">
        <v>1099</v>
      </c>
      <c r="K132" s="322"/>
    </row>
    <row r="133" spans="1:11" ht="15.6">
      <c r="A133" s="326">
        <v>45733</v>
      </c>
      <c r="B133" s="349" t="s">
        <v>971</v>
      </c>
      <c r="C133" s="349" t="s">
        <v>155</v>
      </c>
      <c r="D133" s="349" t="s">
        <v>124</v>
      </c>
      <c r="E133" s="350"/>
      <c r="F133" s="350">
        <v>55000</v>
      </c>
      <c r="G133" s="350"/>
      <c r="H133" s="371">
        <f t="shared" si="3"/>
        <v>58000</v>
      </c>
      <c r="I133" s="349" t="s">
        <v>673</v>
      </c>
      <c r="J133" s="220" t="s">
        <v>1100</v>
      </c>
      <c r="K133" s="322"/>
    </row>
    <row r="134" spans="1:11" ht="15.6">
      <c r="A134" s="326">
        <v>45733</v>
      </c>
      <c r="B134" s="349" t="s">
        <v>972</v>
      </c>
      <c r="C134" s="349" t="s">
        <v>155</v>
      </c>
      <c r="D134" s="349" t="s">
        <v>123</v>
      </c>
      <c r="E134" s="350"/>
      <c r="F134" s="350">
        <v>10000</v>
      </c>
      <c r="G134" s="350"/>
      <c r="H134" s="371">
        <f t="shared" si="3"/>
        <v>48000</v>
      </c>
      <c r="I134" s="349" t="s">
        <v>673</v>
      </c>
      <c r="J134" s="220" t="s">
        <v>1101</v>
      </c>
      <c r="K134" s="322"/>
    </row>
    <row r="135" spans="1:11" ht="15.6">
      <c r="A135" s="326">
        <v>45733</v>
      </c>
      <c r="B135" s="349" t="s">
        <v>973</v>
      </c>
      <c r="C135" s="349" t="s">
        <v>155</v>
      </c>
      <c r="D135" s="349" t="s">
        <v>120</v>
      </c>
      <c r="E135" s="350"/>
      <c r="F135" s="350">
        <v>10000</v>
      </c>
      <c r="G135" s="350"/>
      <c r="H135" s="371">
        <f t="shared" si="3"/>
        <v>38000</v>
      </c>
      <c r="I135" s="349" t="s">
        <v>673</v>
      </c>
      <c r="J135" s="220" t="s">
        <v>1102</v>
      </c>
      <c r="K135" s="322"/>
    </row>
    <row r="136" spans="1:11" ht="15.6">
      <c r="A136" s="326">
        <v>45733</v>
      </c>
      <c r="B136" s="349" t="s">
        <v>974</v>
      </c>
      <c r="C136" s="349" t="s">
        <v>155</v>
      </c>
      <c r="D136" s="349" t="s">
        <v>124</v>
      </c>
      <c r="E136" s="350"/>
      <c r="F136" s="350">
        <v>5000</v>
      </c>
      <c r="G136" s="350"/>
      <c r="H136" s="371">
        <f t="shared" si="3"/>
        <v>33000</v>
      </c>
      <c r="I136" s="349" t="s">
        <v>673</v>
      </c>
      <c r="J136" s="220" t="s">
        <v>1103</v>
      </c>
      <c r="K136" s="322"/>
    </row>
    <row r="137" spans="1:11" ht="15.6">
      <c r="A137" s="326">
        <v>45735</v>
      </c>
      <c r="B137" s="349" t="s">
        <v>980</v>
      </c>
      <c r="C137" s="349" t="s">
        <v>189</v>
      </c>
      <c r="D137" s="349" t="s">
        <v>121</v>
      </c>
      <c r="E137" s="350">
        <v>19830</v>
      </c>
      <c r="F137" s="350"/>
      <c r="G137" s="350"/>
      <c r="H137" s="371">
        <f t="shared" si="3"/>
        <v>52830</v>
      </c>
      <c r="I137" s="349" t="s">
        <v>673</v>
      </c>
      <c r="J137" s="220" t="s">
        <v>1108</v>
      </c>
      <c r="K137" s="322"/>
    </row>
    <row r="138" spans="1:11" ht="15.6">
      <c r="A138" s="326">
        <v>45735</v>
      </c>
      <c r="B138" s="349" t="s">
        <v>981</v>
      </c>
      <c r="C138" s="349" t="s">
        <v>176</v>
      </c>
      <c r="D138" s="349" t="s">
        <v>121</v>
      </c>
      <c r="E138" s="350">
        <v>300000</v>
      </c>
      <c r="F138" s="350"/>
      <c r="G138" s="350"/>
      <c r="H138" s="371">
        <f t="shared" si="3"/>
        <v>352830</v>
      </c>
      <c r="I138" s="349" t="s">
        <v>673</v>
      </c>
      <c r="J138" s="220" t="s">
        <v>1109</v>
      </c>
      <c r="K138" s="322"/>
    </row>
    <row r="139" spans="1:11" ht="15.6">
      <c r="A139" s="326">
        <v>45735</v>
      </c>
      <c r="B139" s="349" t="s">
        <v>980</v>
      </c>
      <c r="C139" s="349" t="s">
        <v>189</v>
      </c>
      <c r="D139" s="349" t="s">
        <v>121</v>
      </c>
      <c r="E139" s="350"/>
      <c r="F139" s="350">
        <v>19830</v>
      </c>
      <c r="G139" s="350"/>
      <c r="H139" s="371">
        <f t="shared" si="3"/>
        <v>333000</v>
      </c>
      <c r="I139" s="349" t="s">
        <v>673</v>
      </c>
      <c r="J139" s="220" t="s">
        <v>1108</v>
      </c>
      <c r="K139" s="322"/>
    </row>
    <row r="140" spans="1:11" ht="15.6">
      <c r="A140" s="326">
        <v>45735</v>
      </c>
      <c r="B140" s="349" t="s">
        <v>981</v>
      </c>
      <c r="C140" s="349" t="s">
        <v>176</v>
      </c>
      <c r="D140" s="349" t="s">
        <v>121</v>
      </c>
      <c r="E140" s="350"/>
      <c r="F140" s="350">
        <v>300000</v>
      </c>
      <c r="G140" s="350"/>
      <c r="H140" s="371">
        <f t="shared" si="3"/>
        <v>33000</v>
      </c>
      <c r="I140" s="349" t="s">
        <v>673</v>
      </c>
      <c r="J140" s="220" t="s">
        <v>1109</v>
      </c>
      <c r="K140" s="322"/>
    </row>
    <row r="141" spans="1:11" ht="15.6">
      <c r="A141" s="326">
        <v>45737</v>
      </c>
      <c r="B141" s="349" t="s">
        <v>980</v>
      </c>
      <c r="C141" s="349" t="s">
        <v>189</v>
      </c>
      <c r="D141" s="349" t="s">
        <v>121</v>
      </c>
      <c r="E141" s="350">
        <v>14640</v>
      </c>
      <c r="F141" s="350"/>
      <c r="G141" s="350"/>
      <c r="H141" s="371">
        <f t="shared" si="3"/>
        <v>47640</v>
      </c>
      <c r="I141" s="349" t="s">
        <v>673</v>
      </c>
      <c r="J141" s="220" t="s">
        <v>1111</v>
      </c>
      <c r="K141" s="322"/>
    </row>
    <row r="142" spans="1:11" ht="15.6">
      <c r="A142" s="326">
        <v>45737</v>
      </c>
      <c r="B142" s="349" t="s">
        <v>980</v>
      </c>
      <c r="C142" s="349" t="s">
        <v>189</v>
      </c>
      <c r="D142" s="349" t="s">
        <v>121</v>
      </c>
      <c r="E142" s="350"/>
      <c r="F142" s="350">
        <v>14640</v>
      </c>
      <c r="G142" s="350"/>
      <c r="H142" s="371">
        <f t="shared" si="3"/>
        <v>33000</v>
      </c>
      <c r="I142" s="349" t="s">
        <v>673</v>
      </c>
      <c r="J142" s="220" t="s">
        <v>1111</v>
      </c>
      <c r="K142" s="322"/>
    </row>
    <row r="143" spans="1:11" ht="15.6">
      <c r="A143" s="326">
        <v>45740</v>
      </c>
      <c r="B143" s="349" t="s">
        <v>985</v>
      </c>
      <c r="C143" s="349" t="s">
        <v>189</v>
      </c>
      <c r="D143" s="349" t="s">
        <v>121</v>
      </c>
      <c r="E143" s="350">
        <v>7780</v>
      </c>
      <c r="F143" s="350"/>
      <c r="G143" s="350"/>
      <c r="H143" s="371">
        <f t="shared" si="3"/>
        <v>40780</v>
      </c>
      <c r="I143" s="349" t="s">
        <v>673</v>
      </c>
      <c r="J143" s="220" t="s">
        <v>1113</v>
      </c>
      <c r="K143" s="322"/>
    </row>
    <row r="144" spans="1:11" ht="15.6">
      <c r="A144" s="326">
        <v>45740</v>
      </c>
      <c r="B144" s="349" t="s">
        <v>986</v>
      </c>
      <c r="C144" s="349" t="s">
        <v>189</v>
      </c>
      <c r="D144" s="349" t="s">
        <v>121</v>
      </c>
      <c r="E144" s="350">
        <v>6300</v>
      </c>
      <c r="F144" s="350"/>
      <c r="G144" s="350"/>
      <c r="H144" s="371">
        <f t="shared" si="3"/>
        <v>47080</v>
      </c>
      <c r="I144" s="349" t="s">
        <v>673</v>
      </c>
      <c r="J144" s="220" t="s">
        <v>1114</v>
      </c>
      <c r="K144" s="322"/>
    </row>
    <row r="145" spans="1:11" ht="15.6">
      <c r="A145" s="326">
        <v>45740</v>
      </c>
      <c r="B145" s="349" t="s">
        <v>987</v>
      </c>
      <c r="C145" s="349" t="s">
        <v>179</v>
      </c>
      <c r="D145" s="349" t="s">
        <v>120</v>
      </c>
      <c r="E145" s="350">
        <v>42000</v>
      </c>
      <c r="F145" s="350"/>
      <c r="G145" s="350"/>
      <c r="H145" s="371">
        <f t="shared" si="3"/>
        <v>89080</v>
      </c>
      <c r="I145" s="349" t="s">
        <v>673</v>
      </c>
      <c r="J145" s="220" t="s">
        <v>1115</v>
      </c>
      <c r="K145" s="322"/>
    </row>
    <row r="146" spans="1:11" ht="15.6">
      <c r="A146" s="326">
        <v>45740</v>
      </c>
      <c r="B146" s="349" t="s">
        <v>985</v>
      </c>
      <c r="C146" s="349" t="s">
        <v>189</v>
      </c>
      <c r="D146" s="349" t="s">
        <v>121</v>
      </c>
      <c r="E146" s="350"/>
      <c r="F146" s="350">
        <v>7780</v>
      </c>
      <c r="G146" s="350"/>
      <c r="H146" s="371">
        <f t="shared" si="3"/>
        <v>81300</v>
      </c>
      <c r="I146" s="349" t="s">
        <v>673</v>
      </c>
      <c r="J146" s="220" t="s">
        <v>1113</v>
      </c>
      <c r="K146" s="322"/>
    </row>
    <row r="147" spans="1:11" ht="15.6">
      <c r="A147" s="326">
        <v>45740</v>
      </c>
      <c r="B147" s="349" t="s">
        <v>986</v>
      </c>
      <c r="C147" s="349" t="s">
        <v>189</v>
      </c>
      <c r="D147" s="349" t="s">
        <v>121</v>
      </c>
      <c r="E147" s="350"/>
      <c r="F147" s="350">
        <v>6300</v>
      </c>
      <c r="G147" s="350"/>
      <c r="H147" s="371">
        <f t="shared" si="3"/>
        <v>75000</v>
      </c>
      <c r="I147" s="349" t="s">
        <v>673</v>
      </c>
      <c r="J147" s="220" t="s">
        <v>1114</v>
      </c>
      <c r="K147" s="322"/>
    </row>
    <row r="148" spans="1:11" ht="15.6">
      <c r="A148" s="326">
        <v>45740</v>
      </c>
      <c r="B148" s="349" t="s">
        <v>987</v>
      </c>
      <c r="C148" s="349" t="s">
        <v>179</v>
      </c>
      <c r="D148" s="349" t="s">
        <v>120</v>
      </c>
      <c r="E148" s="350"/>
      <c r="F148" s="350">
        <v>42000</v>
      </c>
      <c r="G148" s="350"/>
      <c r="H148" s="371">
        <f t="shared" si="3"/>
        <v>33000</v>
      </c>
      <c r="I148" s="349" t="s">
        <v>673</v>
      </c>
      <c r="J148" s="220" t="s">
        <v>1115</v>
      </c>
      <c r="K148" s="322"/>
    </row>
    <row r="149" spans="1:11" ht="15.6">
      <c r="A149" s="326">
        <v>45742</v>
      </c>
      <c r="B149" s="349" t="s">
        <v>1540</v>
      </c>
      <c r="C149" s="349" t="s">
        <v>324</v>
      </c>
      <c r="D149" s="349" t="s">
        <v>121</v>
      </c>
      <c r="E149" s="350">
        <v>20000</v>
      </c>
      <c r="F149" s="350"/>
      <c r="G149" s="350"/>
      <c r="H149" s="371">
        <f t="shared" si="3"/>
        <v>53000</v>
      </c>
      <c r="I149" s="349" t="s">
        <v>673</v>
      </c>
      <c r="J149" s="220" t="s">
        <v>1119</v>
      </c>
      <c r="K149" s="322"/>
    </row>
    <row r="150" spans="1:11" ht="15.6">
      <c r="A150" s="326">
        <v>45742</v>
      </c>
      <c r="B150" s="349" t="s">
        <v>1540</v>
      </c>
      <c r="C150" s="349" t="s">
        <v>324</v>
      </c>
      <c r="D150" s="349" t="s">
        <v>121</v>
      </c>
      <c r="E150" s="350"/>
      <c r="F150" s="350">
        <v>20000</v>
      </c>
      <c r="G150" s="350"/>
      <c r="H150" s="371">
        <f t="shared" si="3"/>
        <v>33000</v>
      </c>
      <c r="I150" s="349" t="s">
        <v>673</v>
      </c>
      <c r="J150" s="220" t="s">
        <v>1119</v>
      </c>
      <c r="K150" s="322"/>
    </row>
    <row r="151" spans="1:11" ht="15.6">
      <c r="A151" s="326">
        <v>45744</v>
      </c>
      <c r="B151" s="349" t="s">
        <v>991</v>
      </c>
      <c r="C151" s="349" t="s">
        <v>324</v>
      </c>
      <c r="D151" s="349" t="s">
        <v>121</v>
      </c>
      <c r="E151" s="350">
        <v>8000</v>
      </c>
      <c r="F151" s="350"/>
      <c r="G151" s="350"/>
      <c r="H151" s="371">
        <f t="shared" si="3"/>
        <v>41000</v>
      </c>
      <c r="I151" s="349" t="s">
        <v>673</v>
      </c>
      <c r="J151" s="220" t="s">
        <v>1120</v>
      </c>
      <c r="K151" s="322"/>
    </row>
    <row r="152" spans="1:11" ht="15.6">
      <c r="A152" s="326">
        <v>45744</v>
      </c>
      <c r="B152" s="349" t="s">
        <v>993</v>
      </c>
      <c r="C152" s="349" t="s">
        <v>324</v>
      </c>
      <c r="D152" s="349" t="s">
        <v>121</v>
      </c>
      <c r="E152" s="350">
        <v>75625</v>
      </c>
      <c r="F152" s="350"/>
      <c r="G152" s="350"/>
      <c r="H152" s="371">
        <f t="shared" si="3"/>
        <v>116625</v>
      </c>
      <c r="I152" s="349" t="s">
        <v>673</v>
      </c>
      <c r="J152" s="220" t="s">
        <v>1122</v>
      </c>
      <c r="K152" s="322"/>
    </row>
    <row r="153" spans="1:11" ht="15.6">
      <c r="A153" s="326">
        <v>45744</v>
      </c>
      <c r="B153" s="349" t="s">
        <v>991</v>
      </c>
      <c r="C153" s="349" t="s">
        <v>324</v>
      </c>
      <c r="D153" s="349" t="s">
        <v>121</v>
      </c>
      <c r="E153" s="350"/>
      <c r="F153" s="350">
        <v>8000</v>
      </c>
      <c r="G153" s="350"/>
      <c r="H153" s="371">
        <f t="shared" si="3"/>
        <v>108625</v>
      </c>
      <c r="I153" s="349" t="s">
        <v>673</v>
      </c>
      <c r="J153" s="220" t="s">
        <v>1120</v>
      </c>
      <c r="K153" s="322"/>
    </row>
    <row r="154" spans="1:11" ht="15.6">
      <c r="A154" s="326">
        <v>45744</v>
      </c>
      <c r="B154" s="349" t="s">
        <v>993</v>
      </c>
      <c r="C154" s="349" t="s">
        <v>324</v>
      </c>
      <c r="D154" s="349" t="s">
        <v>121</v>
      </c>
      <c r="E154" s="350"/>
      <c r="F154" s="350">
        <v>75625</v>
      </c>
      <c r="G154" s="350"/>
      <c r="H154" s="371">
        <f t="shared" si="3"/>
        <v>33000</v>
      </c>
      <c r="I154" s="349" t="s">
        <v>673</v>
      </c>
      <c r="J154" s="220" t="s">
        <v>1122</v>
      </c>
      <c r="K154" s="322"/>
    </row>
    <row r="155" spans="1:11" ht="15.6">
      <c r="A155" s="326">
        <v>45747</v>
      </c>
      <c r="B155" s="349" t="s">
        <v>1248</v>
      </c>
      <c r="C155" s="349" t="s">
        <v>179</v>
      </c>
      <c r="D155" s="349" t="s">
        <v>121</v>
      </c>
      <c r="E155" s="371"/>
      <c r="F155" s="350">
        <v>35500</v>
      </c>
      <c r="G155" s="350"/>
      <c r="H155" s="371">
        <f t="shared" si="3"/>
        <v>-2500</v>
      </c>
      <c r="I155" s="349" t="s">
        <v>673</v>
      </c>
      <c r="J155" s="349" t="s">
        <v>1249</v>
      </c>
      <c r="K155" s="322"/>
    </row>
    <row r="156" spans="1:11" ht="15.6">
      <c r="A156" s="326">
        <v>45747</v>
      </c>
      <c r="B156" s="349" t="s">
        <v>995</v>
      </c>
      <c r="C156" s="349" t="s">
        <v>717</v>
      </c>
      <c r="D156" s="349" t="s">
        <v>121</v>
      </c>
      <c r="E156" s="350">
        <v>45050</v>
      </c>
      <c r="F156" s="350"/>
      <c r="G156" s="350"/>
      <c r="H156" s="371">
        <f t="shared" si="3"/>
        <v>42550</v>
      </c>
      <c r="I156" s="349" t="s">
        <v>673</v>
      </c>
      <c r="J156" s="220" t="s">
        <v>1123</v>
      </c>
      <c r="K156" s="322"/>
    </row>
    <row r="157" spans="1:11" ht="15.6">
      <c r="A157" s="326">
        <v>45747</v>
      </c>
      <c r="B157" s="349" t="s">
        <v>995</v>
      </c>
      <c r="C157" s="349" t="s">
        <v>717</v>
      </c>
      <c r="D157" s="349" t="s">
        <v>121</v>
      </c>
      <c r="E157" s="350"/>
      <c r="F157" s="350">
        <v>45050</v>
      </c>
      <c r="G157" s="350"/>
      <c r="H157" s="371">
        <f t="shared" si="3"/>
        <v>-2500</v>
      </c>
      <c r="I157" s="349" t="s">
        <v>673</v>
      </c>
      <c r="J157" s="220" t="s">
        <v>1123</v>
      </c>
      <c r="K157" s="322"/>
    </row>
    <row r="158" spans="1:11" ht="15.6">
      <c r="A158" s="323"/>
      <c r="B158" s="323"/>
      <c r="C158" s="323"/>
      <c r="D158" s="323"/>
      <c r="E158" s="324">
        <f>SUM(E108:E157)</f>
        <v>1034165</v>
      </c>
      <c r="F158" s="324">
        <f>SUM(F108:F157)</f>
        <v>1049665</v>
      </c>
      <c r="G158" s="324"/>
      <c r="H158" s="325">
        <f>+E158-F158+H107</f>
        <v>-2500</v>
      </c>
      <c r="I158" s="322"/>
      <c r="J158" s="322"/>
      <c r="K158" s="322"/>
    </row>
    <row r="159" spans="1:11" ht="15.6">
      <c r="A159" s="323"/>
      <c r="B159" s="323"/>
      <c r="C159" s="323"/>
      <c r="D159" s="323"/>
      <c r="E159" s="324"/>
      <c r="F159" s="324"/>
      <c r="G159" s="324"/>
      <c r="H159" s="325"/>
      <c r="I159" s="322"/>
      <c r="J159" s="322"/>
      <c r="K159" s="322"/>
    </row>
    <row r="160" spans="1:11" ht="15.6">
      <c r="A160" s="323"/>
      <c r="B160" s="323"/>
      <c r="C160" s="323"/>
      <c r="D160" s="323"/>
      <c r="E160" s="324"/>
      <c r="F160" s="324"/>
      <c r="G160" s="324"/>
      <c r="H160" s="325"/>
      <c r="I160" s="322"/>
      <c r="J160" s="322"/>
      <c r="K160" s="322"/>
    </row>
    <row r="161" spans="1:11" ht="15.6">
      <c r="A161" s="352"/>
      <c r="B161" s="340"/>
      <c r="C161" s="353" t="s">
        <v>531</v>
      </c>
      <c r="D161" s="340"/>
      <c r="E161" s="354"/>
      <c r="F161" s="354"/>
      <c r="G161" s="354"/>
      <c r="H161" s="355"/>
      <c r="I161" s="340"/>
      <c r="J161" s="340"/>
      <c r="K161" s="340"/>
    </row>
    <row r="162" spans="1:11" ht="15.6">
      <c r="A162" s="352"/>
      <c r="B162" s="340"/>
      <c r="C162" s="340"/>
      <c r="D162" s="340"/>
      <c r="E162" s="354"/>
      <c r="F162" s="354"/>
      <c r="G162" s="354"/>
      <c r="H162" s="355"/>
      <c r="I162" s="340"/>
      <c r="J162" s="340"/>
      <c r="K162" s="340"/>
    </row>
    <row r="163" spans="1:11" ht="15.6">
      <c r="A163" s="356" t="s">
        <v>0</v>
      </c>
      <c r="B163" s="357" t="s">
        <v>515</v>
      </c>
      <c r="C163" s="357" t="s">
        <v>516</v>
      </c>
      <c r="D163" s="357" t="s">
        <v>517</v>
      </c>
      <c r="E163" s="358" t="s">
        <v>518</v>
      </c>
      <c r="F163" s="358" t="s">
        <v>519</v>
      </c>
      <c r="G163" s="358"/>
      <c r="H163" s="368" t="s">
        <v>30</v>
      </c>
      <c r="I163" s="357" t="s">
        <v>520</v>
      </c>
      <c r="J163" s="357" t="s">
        <v>521</v>
      </c>
      <c r="K163" s="360"/>
    </row>
    <row r="164" spans="1:11" ht="15.6">
      <c r="A164" s="317">
        <v>45717</v>
      </c>
      <c r="B164" s="333" t="s">
        <v>1230</v>
      </c>
      <c r="C164" s="333"/>
      <c r="D164" s="333"/>
      <c r="E164" s="337"/>
      <c r="F164" s="337"/>
      <c r="G164" s="337"/>
      <c r="H164" s="338">
        <v>54810</v>
      </c>
      <c r="I164" s="320" t="s">
        <v>192</v>
      </c>
      <c r="J164" s="333"/>
      <c r="K164" s="340"/>
    </row>
    <row r="165" spans="1:11" ht="15.6">
      <c r="A165" s="327">
        <v>45719</v>
      </c>
      <c r="B165" s="320" t="s">
        <v>942</v>
      </c>
      <c r="C165" s="320" t="s">
        <v>127</v>
      </c>
      <c r="D165" s="320" t="s">
        <v>124</v>
      </c>
      <c r="E165" s="320"/>
      <c r="F165" s="320">
        <v>35000</v>
      </c>
      <c r="G165" s="320"/>
      <c r="H165" s="288">
        <f t="shared" ref="H165:H183" si="4">+H164+E165-F165</f>
        <v>19810</v>
      </c>
      <c r="I165" s="320" t="s">
        <v>192</v>
      </c>
      <c r="J165" s="320" t="s">
        <v>1250</v>
      </c>
      <c r="K165" s="340"/>
    </row>
    <row r="166" spans="1:11" ht="15.6">
      <c r="A166" s="327">
        <v>45721</v>
      </c>
      <c r="B166" s="320" t="s">
        <v>744</v>
      </c>
      <c r="C166" s="320" t="s">
        <v>127</v>
      </c>
      <c r="D166" s="320" t="s">
        <v>124</v>
      </c>
      <c r="E166" s="320">
        <v>20000</v>
      </c>
      <c r="F166" s="320"/>
      <c r="G166" s="320"/>
      <c r="H166" s="288">
        <f t="shared" si="4"/>
        <v>39810</v>
      </c>
      <c r="I166" s="320" t="s">
        <v>192</v>
      </c>
      <c r="J166" s="320" t="s">
        <v>1251</v>
      </c>
      <c r="K166" s="340"/>
    </row>
    <row r="167" spans="1:11" ht="15.6">
      <c r="A167" s="327">
        <v>45726</v>
      </c>
      <c r="B167" s="320" t="s">
        <v>744</v>
      </c>
      <c r="C167" s="320" t="s">
        <v>127</v>
      </c>
      <c r="D167" s="320" t="s">
        <v>124</v>
      </c>
      <c r="E167" s="320">
        <v>243000</v>
      </c>
      <c r="F167" s="320"/>
      <c r="G167" s="320"/>
      <c r="H167" s="288">
        <f t="shared" si="4"/>
        <v>282810</v>
      </c>
      <c r="I167" s="320" t="s">
        <v>192</v>
      </c>
      <c r="J167" s="320" t="s">
        <v>1252</v>
      </c>
      <c r="K167" s="340"/>
    </row>
    <row r="168" spans="1:11" ht="15.6">
      <c r="A168" s="327">
        <v>45726</v>
      </c>
      <c r="B168" s="320" t="s">
        <v>1541</v>
      </c>
      <c r="C168" s="320" t="s">
        <v>179</v>
      </c>
      <c r="D168" s="320" t="s">
        <v>124</v>
      </c>
      <c r="E168" s="320"/>
      <c r="F168" s="320">
        <v>10000</v>
      </c>
      <c r="G168" s="320"/>
      <c r="H168" s="288">
        <f t="shared" si="4"/>
        <v>272810</v>
      </c>
      <c r="I168" s="320" t="s">
        <v>192</v>
      </c>
      <c r="J168" s="320" t="s">
        <v>1253</v>
      </c>
      <c r="K168" s="340"/>
    </row>
    <row r="169" spans="1:11" ht="15.6">
      <c r="A169" s="327">
        <v>45727</v>
      </c>
      <c r="B169" s="320" t="s">
        <v>1548</v>
      </c>
      <c r="C169" s="320" t="s">
        <v>184</v>
      </c>
      <c r="D169" s="320" t="s">
        <v>124</v>
      </c>
      <c r="E169" s="320"/>
      <c r="F169" s="320">
        <v>130000</v>
      </c>
      <c r="G169" s="320"/>
      <c r="H169" s="288">
        <f t="shared" si="4"/>
        <v>142810</v>
      </c>
      <c r="I169" s="320" t="s">
        <v>192</v>
      </c>
      <c r="J169" s="320" t="s">
        <v>1254</v>
      </c>
      <c r="K169" s="340"/>
    </row>
    <row r="170" spans="1:11" ht="15.6">
      <c r="A170" s="327">
        <v>45733</v>
      </c>
      <c r="B170" s="320" t="s">
        <v>744</v>
      </c>
      <c r="C170" s="320" t="s">
        <v>127</v>
      </c>
      <c r="D170" s="320" t="s">
        <v>124</v>
      </c>
      <c r="E170" s="320">
        <v>307000</v>
      </c>
      <c r="F170" s="320"/>
      <c r="G170" s="320"/>
      <c r="H170" s="288">
        <f t="shared" si="4"/>
        <v>449810</v>
      </c>
      <c r="I170" s="320" t="s">
        <v>192</v>
      </c>
      <c r="J170" s="320" t="s">
        <v>1255</v>
      </c>
      <c r="K170" s="340"/>
    </row>
    <row r="171" spans="1:11" ht="15.6">
      <c r="A171" s="327">
        <v>45735</v>
      </c>
      <c r="B171" s="320" t="s">
        <v>1549</v>
      </c>
      <c r="C171" s="320" t="s">
        <v>184</v>
      </c>
      <c r="D171" s="320" t="s">
        <v>124</v>
      </c>
      <c r="E171" s="320"/>
      <c r="F171" s="320">
        <v>120000</v>
      </c>
      <c r="G171" s="320"/>
      <c r="H171" s="288">
        <f t="shared" si="4"/>
        <v>329810</v>
      </c>
      <c r="I171" s="320" t="s">
        <v>192</v>
      </c>
      <c r="J171" s="320" t="s">
        <v>1256</v>
      </c>
      <c r="K171" s="340"/>
    </row>
    <row r="172" spans="1:11" ht="15.6">
      <c r="A172" s="327">
        <v>45735</v>
      </c>
      <c r="B172" s="320" t="s">
        <v>744</v>
      </c>
      <c r="C172" s="320" t="s">
        <v>127</v>
      </c>
      <c r="D172" s="320" t="s">
        <v>124</v>
      </c>
      <c r="E172" s="320">
        <v>300000</v>
      </c>
      <c r="F172" s="320"/>
      <c r="G172" s="320"/>
      <c r="H172" s="288">
        <f t="shared" si="4"/>
        <v>629810</v>
      </c>
      <c r="I172" s="320" t="s">
        <v>192</v>
      </c>
      <c r="J172" s="320" t="s">
        <v>1257</v>
      </c>
      <c r="K172" s="340"/>
    </row>
    <row r="173" spans="1:11" ht="15.6">
      <c r="A173" s="327">
        <v>45736</v>
      </c>
      <c r="B173" s="320" t="s">
        <v>744</v>
      </c>
      <c r="C173" s="320" t="s">
        <v>127</v>
      </c>
      <c r="D173" s="320" t="s">
        <v>124</v>
      </c>
      <c r="E173" s="320">
        <v>172000</v>
      </c>
      <c r="F173" s="320"/>
      <c r="G173" s="320"/>
      <c r="H173" s="288">
        <f t="shared" si="4"/>
        <v>801810</v>
      </c>
      <c r="I173" s="320" t="s">
        <v>192</v>
      </c>
      <c r="J173" s="320" t="s">
        <v>1258</v>
      </c>
      <c r="K173" s="340"/>
    </row>
    <row r="174" spans="1:11" ht="15.6">
      <c r="A174" s="327">
        <v>45738</v>
      </c>
      <c r="B174" s="320" t="s">
        <v>1259</v>
      </c>
      <c r="C174" s="320" t="s">
        <v>414</v>
      </c>
      <c r="D174" s="320" t="s">
        <v>124</v>
      </c>
      <c r="E174" s="320"/>
      <c r="F174" s="320">
        <v>90100</v>
      </c>
      <c r="G174" s="320"/>
      <c r="H174" s="288">
        <f t="shared" si="4"/>
        <v>711710</v>
      </c>
      <c r="I174" s="320" t="s">
        <v>192</v>
      </c>
      <c r="J174" s="320" t="s">
        <v>1260</v>
      </c>
      <c r="K174" s="340"/>
    </row>
    <row r="175" spans="1:11" ht="15.6">
      <c r="A175" s="327">
        <v>45738</v>
      </c>
      <c r="B175" s="320" t="s">
        <v>1550</v>
      </c>
      <c r="C175" s="320" t="s">
        <v>179</v>
      </c>
      <c r="D175" s="320" t="s">
        <v>124</v>
      </c>
      <c r="E175" s="320"/>
      <c r="F175" s="320">
        <v>15000</v>
      </c>
      <c r="G175" s="320"/>
      <c r="H175" s="288">
        <f t="shared" si="4"/>
        <v>696710</v>
      </c>
      <c r="I175" s="320" t="s">
        <v>192</v>
      </c>
      <c r="J175" s="320" t="s">
        <v>1261</v>
      </c>
      <c r="K175" s="340"/>
    </row>
    <row r="176" spans="1:11" ht="15.6">
      <c r="A176" s="327">
        <v>45738</v>
      </c>
      <c r="B176" s="320" t="s">
        <v>1550</v>
      </c>
      <c r="C176" s="320" t="s">
        <v>179</v>
      </c>
      <c r="D176" s="320" t="s">
        <v>124</v>
      </c>
      <c r="E176" s="320"/>
      <c r="F176" s="320">
        <v>15000</v>
      </c>
      <c r="G176" s="320"/>
      <c r="H176" s="288">
        <f t="shared" si="4"/>
        <v>681710</v>
      </c>
      <c r="I176" s="320" t="s">
        <v>192</v>
      </c>
      <c r="J176" s="320" t="s">
        <v>1262</v>
      </c>
      <c r="K176" s="340"/>
    </row>
    <row r="177" spans="1:11" ht="15.6">
      <c r="A177" s="327">
        <v>45738</v>
      </c>
      <c r="B177" s="320" t="s">
        <v>1546</v>
      </c>
      <c r="C177" s="320" t="s">
        <v>179</v>
      </c>
      <c r="D177" s="320" t="s">
        <v>124</v>
      </c>
      <c r="E177" s="320"/>
      <c r="F177" s="320">
        <v>50000</v>
      </c>
      <c r="G177" s="320"/>
      <c r="H177" s="288">
        <f t="shared" si="4"/>
        <v>631710</v>
      </c>
      <c r="I177" s="320" t="s">
        <v>192</v>
      </c>
      <c r="J177" s="320" t="s">
        <v>1263</v>
      </c>
      <c r="K177" s="340"/>
    </row>
    <row r="178" spans="1:11" ht="15.6">
      <c r="A178" s="327">
        <v>45738</v>
      </c>
      <c r="B178" s="320" t="s">
        <v>1541</v>
      </c>
      <c r="C178" s="320" t="s">
        <v>179</v>
      </c>
      <c r="D178" s="320" t="s">
        <v>124</v>
      </c>
      <c r="E178" s="320"/>
      <c r="F178" s="320">
        <v>7000</v>
      </c>
      <c r="G178" s="320"/>
      <c r="H178" s="288">
        <f t="shared" si="4"/>
        <v>624710</v>
      </c>
      <c r="I178" s="320" t="s">
        <v>192</v>
      </c>
      <c r="J178" s="320" t="s">
        <v>1264</v>
      </c>
      <c r="K178" s="340"/>
    </row>
    <row r="179" spans="1:11" ht="15.6">
      <c r="A179" s="327">
        <v>45739</v>
      </c>
      <c r="B179" s="320" t="s">
        <v>1551</v>
      </c>
      <c r="C179" s="320" t="s">
        <v>184</v>
      </c>
      <c r="D179" s="320" t="s">
        <v>208</v>
      </c>
      <c r="E179" s="320"/>
      <c r="F179" s="320">
        <v>140000</v>
      </c>
      <c r="G179" s="320"/>
      <c r="H179" s="288">
        <f t="shared" si="4"/>
        <v>484710</v>
      </c>
      <c r="I179" s="320" t="s">
        <v>192</v>
      </c>
      <c r="J179" s="320" t="s">
        <v>1265</v>
      </c>
      <c r="K179" s="340"/>
    </row>
    <row r="180" spans="1:11" ht="15.6">
      <c r="A180" s="327">
        <v>45739</v>
      </c>
      <c r="B180" s="320" t="s">
        <v>1551</v>
      </c>
      <c r="C180" s="320" t="s">
        <v>184</v>
      </c>
      <c r="D180" s="320" t="s">
        <v>208</v>
      </c>
      <c r="E180" s="320"/>
      <c r="F180" s="320">
        <v>140000</v>
      </c>
      <c r="G180" s="320"/>
      <c r="H180" s="288">
        <f t="shared" si="4"/>
        <v>344710</v>
      </c>
      <c r="I180" s="320" t="s">
        <v>192</v>
      </c>
      <c r="J180" s="320" t="s">
        <v>1266</v>
      </c>
      <c r="K180" s="340"/>
    </row>
    <row r="181" spans="1:11" ht="15.6">
      <c r="A181" s="327">
        <v>45740</v>
      </c>
      <c r="B181" s="320" t="s">
        <v>1544</v>
      </c>
      <c r="C181" s="320" t="s">
        <v>184</v>
      </c>
      <c r="D181" s="320" t="s">
        <v>124</v>
      </c>
      <c r="E181" s="320"/>
      <c r="F181" s="320">
        <v>30000</v>
      </c>
      <c r="G181" s="320"/>
      <c r="H181" s="288">
        <f t="shared" si="4"/>
        <v>314710</v>
      </c>
      <c r="I181" s="320" t="s">
        <v>192</v>
      </c>
      <c r="J181" s="320" t="s">
        <v>1267</v>
      </c>
      <c r="K181" s="340"/>
    </row>
    <row r="182" spans="1:11" ht="15.6">
      <c r="A182" s="327">
        <v>45740</v>
      </c>
      <c r="B182" s="320" t="s">
        <v>1268</v>
      </c>
      <c r="C182" s="320" t="s">
        <v>179</v>
      </c>
      <c r="D182" s="320" t="s">
        <v>124</v>
      </c>
      <c r="E182" s="320"/>
      <c r="F182" s="320">
        <v>68000</v>
      </c>
      <c r="G182" s="320"/>
      <c r="H182" s="288">
        <f t="shared" si="4"/>
        <v>246710</v>
      </c>
      <c r="I182" s="320" t="s">
        <v>192</v>
      </c>
      <c r="J182" s="320" t="s">
        <v>1269</v>
      </c>
      <c r="K182" s="340"/>
    </row>
    <row r="183" spans="1:11" ht="15.6">
      <c r="A183" s="327">
        <v>45741</v>
      </c>
      <c r="B183" s="320" t="s">
        <v>942</v>
      </c>
      <c r="C183" s="320" t="s">
        <v>127</v>
      </c>
      <c r="D183" s="320" t="s">
        <v>124</v>
      </c>
      <c r="E183" s="320"/>
      <c r="F183" s="320">
        <v>200000</v>
      </c>
      <c r="G183" s="320"/>
      <c r="H183" s="288">
        <f t="shared" si="4"/>
        <v>46710</v>
      </c>
      <c r="I183" s="320" t="s">
        <v>192</v>
      </c>
      <c r="J183" s="320" t="s">
        <v>1270</v>
      </c>
      <c r="K183" s="340"/>
    </row>
    <row r="184" spans="1:11" ht="15.6">
      <c r="A184" s="352"/>
      <c r="B184" s="340"/>
      <c r="C184" s="340"/>
      <c r="D184" s="340"/>
      <c r="E184" s="354">
        <f>SUM(E165:E183)</f>
        <v>1042000</v>
      </c>
      <c r="F184" s="354">
        <f>SUM(F165:F183)</f>
        <v>1050100</v>
      </c>
      <c r="G184" s="354"/>
      <c r="H184" s="355">
        <f>+E184-F184+H164</f>
        <v>46710</v>
      </c>
      <c r="I184" s="340"/>
      <c r="J184" s="340"/>
      <c r="K184" s="340"/>
    </row>
    <row r="185" spans="1:11" ht="15.6">
      <c r="A185" s="352"/>
      <c r="B185" s="340"/>
      <c r="C185" s="353" t="s">
        <v>532</v>
      </c>
      <c r="D185" s="340"/>
      <c r="E185" s="354"/>
      <c r="F185" s="354"/>
      <c r="G185" s="354"/>
      <c r="H185" s="355"/>
      <c r="I185" s="340"/>
      <c r="J185" s="340"/>
      <c r="K185" s="340"/>
    </row>
    <row r="186" spans="1:11" ht="15.6">
      <c r="A186" s="352"/>
      <c r="B186" s="340"/>
      <c r="C186" s="340"/>
      <c r="D186" s="340"/>
      <c r="E186" s="354"/>
      <c r="F186" s="354"/>
      <c r="G186" s="354"/>
      <c r="H186" s="355"/>
      <c r="I186" s="340"/>
      <c r="J186" s="340"/>
      <c r="K186" s="340"/>
    </row>
    <row r="187" spans="1:11" ht="15.6">
      <c r="A187" s="356" t="s">
        <v>0</v>
      </c>
      <c r="B187" s="357" t="s">
        <v>515</v>
      </c>
      <c r="C187" s="357" t="s">
        <v>516</v>
      </c>
      <c r="D187" s="357" t="s">
        <v>517</v>
      </c>
      <c r="E187" s="358" t="s">
        <v>518</v>
      </c>
      <c r="F187" s="358" t="s">
        <v>519</v>
      </c>
      <c r="G187" s="358"/>
      <c r="H187" s="368" t="s">
        <v>30</v>
      </c>
      <c r="I187" s="357" t="s">
        <v>520</v>
      </c>
      <c r="J187" s="357" t="s">
        <v>521</v>
      </c>
      <c r="K187" s="360"/>
    </row>
    <row r="188" spans="1:11" ht="15.6">
      <c r="A188" s="240">
        <v>45717</v>
      </c>
      <c r="B188" s="333" t="s">
        <v>1229</v>
      </c>
      <c r="C188" s="333"/>
      <c r="D188" s="333"/>
      <c r="E188" s="337"/>
      <c r="F188" s="337"/>
      <c r="G188" s="337"/>
      <c r="H188" s="338">
        <v>140050</v>
      </c>
      <c r="I188" s="333" t="s">
        <v>181</v>
      </c>
      <c r="J188" s="333"/>
      <c r="K188" s="340"/>
    </row>
    <row r="189" spans="1:11" ht="15.6">
      <c r="A189" s="370">
        <v>45719</v>
      </c>
      <c r="B189" s="349" t="s">
        <v>786</v>
      </c>
      <c r="C189" s="349" t="s">
        <v>1271</v>
      </c>
      <c r="D189" s="239" t="s">
        <v>180</v>
      </c>
      <c r="E189" s="349">
        <v>65000</v>
      </c>
      <c r="F189" s="349"/>
      <c r="G189" s="349"/>
      <c r="H189" s="289">
        <f t="shared" ref="H189:H218" si="5">H188+E189-F189</f>
        <v>205050</v>
      </c>
      <c r="I189" s="376" t="s">
        <v>181</v>
      </c>
      <c r="J189" s="349" t="s">
        <v>1272</v>
      </c>
      <c r="K189" s="340"/>
    </row>
    <row r="190" spans="1:11" ht="15.6">
      <c r="A190" s="370">
        <v>45720</v>
      </c>
      <c r="B190" s="349" t="s">
        <v>1273</v>
      </c>
      <c r="C190" s="376" t="s">
        <v>130</v>
      </c>
      <c r="D190" s="239" t="s">
        <v>1274</v>
      </c>
      <c r="E190" s="349"/>
      <c r="F190" s="349">
        <v>65000</v>
      </c>
      <c r="G190" s="349"/>
      <c r="H190" s="289">
        <f t="shared" si="5"/>
        <v>140050</v>
      </c>
      <c r="I190" s="376" t="s">
        <v>181</v>
      </c>
      <c r="J190" s="349" t="s">
        <v>1275</v>
      </c>
      <c r="K190" s="340"/>
    </row>
    <row r="191" spans="1:11" ht="15.6">
      <c r="A191" s="370">
        <v>45726</v>
      </c>
      <c r="B191" s="349" t="s">
        <v>786</v>
      </c>
      <c r="C191" s="349" t="s">
        <v>1271</v>
      </c>
      <c r="D191" s="239" t="s">
        <v>180</v>
      </c>
      <c r="E191" s="349">
        <v>230000</v>
      </c>
      <c r="F191" s="349"/>
      <c r="G191" s="349"/>
      <c r="H191" s="289">
        <f t="shared" si="5"/>
        <v>370050</v>
      </c>
      <c r="I191" s="376" t="s">
        <v>181</v>
      </c>
      <c r="J191" s="349" t="s">
        <v>1276</v>
      </c>
      <c r="K191" s="340"/>
    </row>
    <row r="192" spans="1:11" ht="15.6">
      <c r="A192" s="370">
        <v>45726</v>
      </c>
      <c r="B192" s="377" t="s">
        <v>791</v>
      </c>
      <c r="C192" s="349" t="s">
        <v>1271</v>
      </c>
      <c r="D192" s="239" t="s">
        <v>180</v>
      </c>
      <c r="E192" s="349"/>
      <c r="F192" s="349">
        <v>30000</v>
      </c>
      <c r="G192" s="349"/>
      <c r="H192" s="289">
        <f t="shared" si="5"/>
        <v>340050</v>
      </c>
      <c r="I192" s="376" t="s">
        <v>181</v>
      </c>
      <c r="J192" s="349" t="s">
        <v>1277</v>
      </c>
      <c r="K192" s="340"/>
    </row>
    <row r="193" spans="1:11" ht="15.6">
      <c r="A193" s="370">
        <v>45727</v>
      </c>
      <c r="B193" s="328" t="s">
        <v>1581</v>
      </c>
      <c r="C193" s="349" t="s">
        <v>526</v>
      </c>
      <c r="D193" s="239" t="s">
        <v>180</v>
      </c>
      <c r="E193" s="349"/>
      <c r="F193" s="349">
        <v>70000</v>
      </c>
      <c r="G193" s="349"/>
      <c r="H193" s="289">
        <f t="shared" si="5"/>
        <v>270050</v>
      </c>
      <c r="I193" s="376" t="s">
        <v>181</v>
      </c>
      <c r="J193" s="349" t="s">
        <v>1278</v>
      </c>
      <c r="K193" s="340"/>
    </row>
    <row r="194" spans="1:11" ht="15.6">
      <c r="A194" s="370">
        <v>45727</v>
      </c>
      <c r="B194" s="349" t="s">
        <v>1569</v>
      </c>
      <c r="C194" s="349" t="s">
        <v>179</v>
      </c>
      <c r="D194" s="239" t="s">
        <v>180</v>
      </c>
      <c r="E194" s="349"/>
      <c r="F194" s="349">
        <v>6000</v>
      </c>
      <c r="G194" s="349"/>
      <c r="H194" s="289">
        <f t="shared" si="5"/>
        <v>264050</v>
      </c>
      <c r="I194" s="376" t="s">
        <v>181</v>
      </c>
      <c r="J194" s="349" t="s">
        <v>1279</v>
      </c>
      <c r="K194" s="340"/>
    </row>
    <row r="195" spans="1:11" ht="15.6">
      <c r="A195" s="370">
        <v>45728</v>
      </c>
      <c r="B195" s="239" t="s">
        <v>1570</v>
      </c>
      <c r="C195" s="349" t="s">
        <v>526</v>
      </c>
      <c r="D195" s="239" t="s">
        <v>180</v>
      </c>
      <c r="E195" s="349"/>
      <c r="F195" s="349">
        <v>15000</v>
      </c>
      <c r="G195" s="349"/>
      <c r="H195" s="289">
        <f t="shared" si="5"/>
        <v>249050</v>
      </c>
      <c r="I195" s="376" t="s">
        <v>181</v>
      </c>
      <c r="J195" s="349" t="s">
        <v>1280</v>
      </c>
      <c r="K195" s="340"/>
    </row>
    <row r="196" spans="1:11" ht="15.6">
      <c r="A196" s="370">
        <v>45728</v>
      </c>
      <c r="B196" s="349" t="s">
        <v>1569</v>
      </c>
      <c r="C196" s="349" t="s">
        <v>179</v>
      </c>
      <c r="D196" s="239" t="s">
        <v>180</v>
      </c>
      <c r="E196" s="349"/>
      <c r="F196" s="349">
        <v>4000</v>
      </c>
      <c r="G196" s="349"/>
      <c r="H196" s="289">
        <f t="shared" si="5"/>
        <v>245050</v>
      </c>
      <c r="I196" s="376" t="s">
        <v>181</v>
      </c>
      <c r="J196" s="349" t="s">
        <v>1281</v>
      </c>
      <c r="K196" s="340"/>
    </row>
    <row r="197" spans="1:11" ht="15.6">
      <c r="A197" s="370">
        <v>45730</v>
      </c>
      <c r="B197" s="239" t="s">
        <v>1571</v>
      </c>
      <c r="C197" s="349" t="s">
        <v>526</v>
      </c>
      <c r="D197" s="239" t="s">
        <v>180</v>
      </c>
      <c r="E197" s="349"/>
      <c r="F197" s="349">
        <v>30000</v>
      </c>
      <c r="G197" s="349"/>
      <c r="H197" s="289">
        <f t="shared" si="5"/>
        <v>215050</v>
      </c>
      <c r="I197" s="376" t="s">
        <v>181</v>
      </c>
      <c r="J197" s="349" t="s">
        <v>1282</v>
      </c>
      <c r="K197" s="340"/>
    </row>
    <row r="198" spans="1:11" ht="15.6">
      <c r="A198" s="370">
        <v>45730</v>
      </c>
      <c r="B198" s="349" t="s">
        <v>1569</v>
      </c>
      <c r="C198" s="349" t="s">
        <v>179</v>
      </c>
      <c r="D198" s="239" t="s">
        <v>180</v>
      </c>
      <c r="E198" s="349"/>
      <c r="F198" s="349">
        <v>4000</v>
      </c>
      <c r="G198" s="349"/>
      <c r="H198" s="289">
        <f t="shared" si="5"/>
        <v>211050</v>
      </c>
      <c r="I198" s="376" t="s">
        <v>181</v>
      </c>
      <c r="J198" s="349" t="s">
        <v>1283</v>
      </c>
      <c r="K198" s="340"/>
    </row>
    <row r="199" spans="1:11" ht="15.6">
      <c r="A199" s="370">
        <v>45731</v>
      </c>
      <c r="B199" s="239" t="s">
        <v>1572</v>
      </c>
      <c r="C199" s="349" t="s">
        <v>526</v>
      </c>
      <c r="D199" s="239" t="s">
        <v>180</v>
      </c>
      <c r="E199" s="349"/>
      <c r="F199" s="349">
        <v>15000</v>
      </c>
      <c r="G199" s="349"/>
      <c r="H199" s="289">
        <f t="shared" si="5"/>
        <v>196050</v>
      </c>
      <c r="I199" s="376" t="s">
        <v>181</v>
      </c>
      <c r="J199" s="349" t="s">
        <v>1284</v>
      </c>
      <c r="K199" s="340"/>
    </row>
    <row r="200" spans="1:11" ht="15.6">
      <c r="A200" s="370">
        <v>45731</v>
      </c>
      <c r="B200" s="349" t="s">
        <v>1569</v>
      </c>
      <c r="C200" s="349" t="s">
        <v>179</v>
      </c>
      <c r="D200" s="239" t="s">
        <v>180</v>
      </c>
      <c r="E200" s="349"/>
      <c r="F200" s="349">
        <v>4000</v>
      </c>
      <c r="G200" s="349"/>
      <c r="H200" s="289">
        <f t="shared" si="5"/>
        <v>192050</v>
      </c>
      <c r="I200" s="376" t="s">
        <v>181</v>
      </c>
      <c r="J200" s="349" t="s">
        <v>1285</v>
      </c>
      <c r="K200" s="340"/>
    </row>
    <row r="201" spans="1:11" ht="15.6">
      <c r="A201" s="370">
        <v>45734</v>
      </c>
      <c r="B201" s="239" t="s">
        <v>1573</v>
      </c>
      <c r="C201" s="349" t="s">
        <v>526</v>
      </c>
      <c r="D201" s="239" t="s">
        <v>180</v>
      </c>
      <c r="E201" s="349"/>
      <c r="F201" s="349">
        <v>45000</v>
      </c>
      <c r="G201" s="349"/>
      <c r="H201" s="289">
        <f t="shared" si="5"/>
        <v>147050</v>
      </c>
      <c r="I201" s="376" t="s">
        <v>181</v>
      </c>
      <c r="J201" s="349" t="s">
        <v>1286</v>
      </c>
      <c r="K201" s="340"/>
    </row>
    <row r="202" spans="1:11" ht="15.6">
      <c r="A202" s="370">
        <v>45734</v>
      </c>
      <c r="B202" s="349" t="s">
        <v>1575</v>
      </c>
      <c r="C202" s="349" t="s">
        <v>179</v>
      </c>
      <c r="D202" s="349" t="s">
        <v>180</v>
      </c>
      <c r="E202" s="349"/>
      <c r="F202" s="349">
        <v>6000</v>
      </c>
      <c r="G202" s="349"/>
      <c r="H202" s="289">
        <f t="shared" si="5"/>
        <v>141050</v>
      </c>
      <c r="I202" s="376" t="s">
        <v>181</v>
      </c>
      <c r="J202" s="349" t="s">
        <v>1287</v>
      </c>
      <c r="K202" s="340"/>
    </row>
    <row r="203" spans="1:11" ht="15.6">
      <c r="A203" s="370">
        <v>45735</v>
      </c>
      <c r="B203" s="349" t="s">
        <v>786</v>
      </c>
      <c r="C203" s="349" t="s">
        <v>1271</v>
      </c>
      <c r="D203" s="349" t="s">
        <v>180</v>
      </c>
      <c r="E203" s="349">
        <v>10000</v>
      </c>
      <c r="F203" s="349"/>
      <c r="G203" s="349"/>
      <c r="H203" s="289">
        <f t="shared" si="5"/>
        <v>151050</v>
      </c>
      <c r="I203" s="376" t="s">
        <v>181</v>
      </c>
      <c r="J203" s="349" t="s">
        <v>1288</v>
      </c>
      <c r="K203" s="340"/>
    </row>
    <row r="204" spans="1:11" ht="15.6">
      <c r="A204" s="370">
        <v>45735</v>
      </c>
      <c r="B204" s="349" t="s">
        <v>1289</v>
      </c>
      <c r="C204" s="349" t="s">
        <v>1290</v>
      </c>
      <c r="D204" s="349" t="s">
        <v>180</v>
      </c>
      <c r="E204" s="349"/>
      <c r="F204" s="349">
        <v>10000</v>
      </c>
      <c r="G204" s="349"/>
      <c r="H204" s="289">
        <f t="shared" si="5"/>
        <v>141050</v>
      </c>
      <c r="I204" s="376" t="s">
        <v>181</v>
      </c>
      <c r="J204" s="349" t="s">
        <v>1291</v>
      </c>
      <c r="K204" s="340"/>
    </row>
    <row r="205" spans="1:11" ht="15.6">
      <c r="A205" s="370">
        <v>45736</v>
      </c>
      <c r="B205" s="349" t="s">
        <v>786</v>
      </c>
      <c r="C205" s="349" t="s">
        <v>1271</v>
      </c>
      <c r="D205" s="349" t="s">
        <v>180</v>
      </c>
      <c r="E205" s="349">
        <v>150000</v>
      </c>
      <c r="F205" s="349"/>
      <c r="G205" s="349"/>
      <c r="H205" s="289">
        <f t="shared" si="5"/>
        <v>291050</v>
      </c>
      <c r="I205" s="376" t="s">
        <v>181</v>
      </c>
      <c r="J205" s="349" t="s">
        <v>1292</v>
      </c>
      <c r="K205" s="340"/>
    </row>
    <row r="206" spans="1:11" ht="15.6">
      <c r="A206" s="370">
        <v>45737</v>
      </c>
      <c r="B206" s="328" t="s">
        <v>1567</v>
      </c>
      <c r="C206" s="349" t="s">
        <v>526</v>
      </c>
      <c r="D206" s="349" t="s">
        <v>180</v>
      </c>
      <c r="E206" s="349"/>
      <c r="F206" s="349">
        <v>70000</v>
      </c>
      <c r="G206" s="349"/>
      <c r="H206" s="289">
        <f t="shared" si="5"/>
        <v>221050</v>
      </c>
      <c r="I206" s="376" t="s">
        <v>181</v>
      </c>
      <c r="J206" s="349" t="s">
        <v>1293</v>
      </c>
      <c r="K206" s="340"/>
    </row>
    <row r="207" spans="1:11" ht="15.6">
      <c r="A207" s="370">
        <v>45737</v>
      </c>
      <c r="B207" s="349" t="s">
        <v>1575</v>
      </c>
      <c r="C207" s="349" t="s">
        <v>179</v>
      </c>
      <c r="D207" s="349" t="s">
        <v>180</v>
      </c>
      <c r="E207" s="349"/>
      <c r="F207" s="349">
        <v>9000</v>
      </c>
      <c r="G207" s="349"/>
      <c r="H207" s="289">
        <f t="shared" si="5"/>
        <v>212050</v>
      </c>
      <c r="I207" s="376" t="s">
        <v>181</v>
      </c>
      <c r="J207" s="349" t="s">
        <v>1294</v>
      </c>
      <c r="K207" s="340"/>
    </row>
    <row r="208" spans="1:11" ht="15.6">
      <c r="A208" s="370">
        <v>45740</v>
      </c>
      <c r="B208" s="349" t="s">
        <v>1569</v>
      </c>
      <c r="C208" s="349" t="s">
        <v>179</v>
      </c>
      <c r="D208" s="349" t="s">
        <v>180</v>
      </c>
      <c r="E208" s="349"/>
      <c r="F208" s="349">
        <v>5000</v>
      </c>
      <c r="G208" s="349"/>
      <c r="H208" s="289">
        <f t="shared" si="5"/>
        <v>207050</v>
      </c>
      <c r="I208" s="376" t="s">
        <v>181</v>
      </c>
      <c r="J208" s="349" t="s">
        <v>1295</v>
      </c>
      <c r="K208" s="340"/>
    </row>
    <row r="209" spans="1:11" ht="15.6">
      <c r="A209" s="370">
        <v>45740</v>
      </c>
      <c r="B209" s="239" t="s">
        <v>1576</v>
      </c>
      <c r="C209" s="349" t="s">
        <v>526</v>
      </c>
      <c r="D209" s="349" t="s">
        <v>180</v>
      </c>
      <c r="E209" s="349"/>
      <c r="F209" s="349">
        <v>45000</v>
      </c>
      <c r="G209" s="349"/>
      <c r="H209" s="289">
        <f t="shared" si="5"/>
        <v>162050</v>
      </c>
      <c r="I209" s="376" t="s">
        <v>181</v>
      </c>
      <c r="J209" s="349" t="s">
        <v>1296</v>
      </c>
      <c r="K209" s="340"/>
    </row>
    <row r="210" spans="1:11" ht="15.6">
      <c r="A210" s="370">
        <v>45740</v>
      </c>
      <c r="B210" s="349" t="s">
        <v>786</v>
      </c>
      <c r="C210" s="349" t="s">
        <v>1271</v>
      </c>
      <c r="D210" s="349" t="s">
        <v>180</v>
      </c>
      <c r="E210" s="349">
        <v>122000</v>
      </c>
      <c r="F210" s="349"/>
      <c r="G210" s="349"/>
      <c r="H210" s="289">
        <f t="shared" si="5"/>
        <v>284050</v>
      </c>
      <c r="I210" s="376" t="s">
        <v>181</v>
      </c>
      <c r="J210" s="349" t="s">
        <v>1297</v>
      </c>
      <c r="K210" s="340"/>
    </row>
    <row r="211" spans="1:11" ht="15.6">
      <c r="A211" s="370">
        <v>45741</v>
      </c>
      <c r="B211" s="349" t="s">
        <v>1569</v>
      </c>
      <c r="C211" s="349" t="s">
        <v>1298</v>
      </c>
      <c r="D211" s="349" t="s">
        <v>180</v>
      </c>
      <c r="E211" s="349"/>
      <c r="F211" s="349">
        <v>15000</v>
      </c>
      <c r="G211" s="349"/>
      <c r="H211" s="289">
        <f t="shared" si="5"/>
        <v>269050</v>
      </c>
      <c r="I211" s="376" t="s">
        <v>181</v>
      </c>
      <c r="J211" s="349" t="s">
        <v>1299</v>
      </c>
      <c r="K211" s="340"/>
    </row>
    <row r="212" spans="1:11" ht="15.6">
      <c r="A212" s="370">
        <v>45741</v>
      </c>
      <c r="B212" s="239" t="s">
        <v>1577</v>
      </c>
      <c r="C212" s="349" t="s">
        <v>526</v>
      </c>
      <c r="D212" s="349" t="s">
        <v>180</v>
      </c>
      <c r="E212" s="349"/>
      <c r="F212" s="349">
        <v>15000</v>
      </c>
      <c r="G212" s="349"/>
      <c r="H212" s="289">
        <f t="shared" si="5"/>
        <v>254050</v>
      </c>
      <c r="I212" s="376" t="s">
        <v>181</v>
      </c>
      <c r="J212" s="349" t="s">
        <v>1300</v>
      </c>
      <c r="K212" s="340"/>
    </row>
    <row r="213" spans="1:11" ht="15.6">
      <c r="A213" s="370">
        <v>45743</v>
      </c>
      <c r="B213" s="239" t="s">
        <v>1578</v>
      </c>
      <c r="C213" s="349" t="s">
        <v>526</v>
      </c>
      <c r="D213" s="349" t="s">
        <v>180</v>
      </c>
      <c r="E213" s="349"/>
      <c r="F213" s="349">
        <v>30000</v>
      </c>
      <c r="G213" s="349"/>
      <c r="H213" s="289">
        <f t="shared" si="5"/>
        <v>224050</v>
      </c>
      <c r="I213" s="376" t="s">
        <v>181</v>
      </c>
      <c r="J213" s="349" t="s">
        <v>1301</v>
      </c>
      <c r="K213" s="340"/>
    </row>
    <row r="214" spans="1:11" ht="15.6">
      <c r="A214" s="370">
        <v>45743</v>
      </c>
      <c r="B214" s="349" t="s">
        <v>1569</v>
      </c>
      <c r="C214" s="349" t="s">
        <v>179</v>
      </c>
      <c r="D214" s="349" t="s">
        <v>180</v>
      </c>
      <c r="E214" s="349"/>
      <c r="F214" s="349">
        <v>15000</v>
      </c>
      <c r="G214" s="349"/>
      <c r="H214" s="289">
        <f t="shared" si="5"/>
        <v>209050</v>
      </c>
      <c r="I214" s="376" t="s">
        <v>181</v>
      </c>
      <c r="J214" s="349" t="s">
        <v>1302</v>
      </c>
      <c r="K214" s="340"/>
    </row>
    <row r="215" spans="1:11" ht="15.6">
      <c r="A215" s="370">
        <v>45743</v>
      </c>
      <c r="B215" s="375" t="s">
        <v>1303</v>
      </c>
      <c r="C215" s="349" t="s">
        <v>414</v>
      </c>
      <c r="D215" s="349" t="s">
        <v>180</v>
      </c>
      <c r="E215" s="349"/>
      <c r="F215" s="349">
        <v>18000</v>
      </c>
      <c r="G215" s="349"/>
      <c r="H215" s="289">
        <f t="shared" si="5"/>
        <v>191050</v>
      </c>
      <c r="I215" s="376" t="s">
        <v>181</v>
      </c>
      <c r="J215" s="349" t="s">
        <v>1304</v>
      </c>
      <c r="K215" s="340"/>
    </row>
    <row r="216" spans="1:11" ht="15.6">
      <c r="A216" s="370">
        <v>45744</v>
      </c>
      <c r="B216" s="239" t="s">
        <v>1577</v>
      </c>
      <c r="C216" s="349" t="s">
        <v>526</v>
      </c>
      <c r="D216" s="349" t="s">
        <v>180</v>
      </c>
      <c r="E216" s="349"/>
      <c r="F216" s="349">
        <v>15000</v>
      </c>
      <c r="G216" s="349"/>
      <c r="H216" s="289">
        <f t="shared" si="5"/>
        <v>176050</v>
      </c>
      <c r="I216" s="376" t="s">
        <v>181</v>
      </c>
      <c r="J216" s="349" t="s">
        <v>1305</v>
      </c>
      <c r="K216" s="340"/>
    </row>
    <row r="217" spans="1:11" ht="15.6">
      <c r="A217" s="370">
        <v>45744</v>
      </c>
      <c r="B217" s="349" t="s">
        <v>1569</v>
      </c>
      <c r="C217" s="349" t="s">
        <v>179</v>
      </c>
      <c r="D217" s="349" t="s">
        <v>180</v>
      </c>
      <c r="E217" s="349"/>
      <c r="F217" s="349">
        <v>7000</v>
      </c>
      <c r="G217" s="349"/>
      <c r="H217" s="289">
        <f t="shared" si="5"/>
        <v>169050</v>
      </c>
      <c r="I217" s="376" t="s">
        <v>181</v>
      </c>
      <c r="J217" s="349" t="s">
        <v>1306</v>
      </c>
      <c r="K217" s="340"/>
    </row>
    <row r="218" spans="1:11" ht="15.6">
      <c r="A218" s="370">
        <v>45745</v>
      </c>
      <c r="B218" s="349" t="s">
        <v>1307</v>
      </c>
      <c r="C218" s="349" t="s">
        <v>179</v>
      </c>
      <c r="D218" s="349" t="s">
        <v>180</v>
      </c>
      <c r="E218" s="349"/>
      <c r="F218" s="349">
        <v>83200</v>
      </c>
      <c r="G218" s="349"/>
      <c r="H218" s="289">
        <f t="shared" si="5"/>
        <v>85850</v>
      </c>
      <c r="I218" s="349" t="s">
        <v>181</v>
      </c>
      <c r="J218" s="349" t="s">
        <v>1308</v>
      </c>
      <c r="K218" s="340"/>
    </row>
    <row r="219" spans="1:11" ht="15.6">
      <c r="A219" s="329"/>
      <c r="B219" s="340"/>
      <c r="C219" s="340"/>
      <c r="D219" s="340"/>
      <c r="E219" s="366">
        <f>SUM(E189:E218)</f>
        <v>577000</v>
      </c>
      <c r="F219" s="366">
        <f>SUM(F189:F218)</f>
        <v>631200</v>
      </c>
      <c r="G219" s="366"/>
      <c r="H219" s="378">
        <f>+E219-F219+H188</f>
        <v>85850</v>
      </c>
      <c r="I219" s="340"/>
      <c r="J219" s="340"/>
      <c r="K219" s="340"/>
    </row>
    <row r="220" spans="1:11" ht="15.6">
      <c r="A220" s="329"/>
      <c r="B220" s="340"/>
      <c r="C220" s="340"/>
      <c r="D220" s="340"/>
      <c r="E220" s="366"/>
      <c r="F220" s="366"/>
      <c r="G220" s="366"/>
      <c r="H220" s="378"/>
      <c r="I220" s="340"/>
      <c r="J220" s="340"/>
      <c r="K220" s="340"/>
    </row>
    <row r="221" spans="1:11" ht="15.6">
      <c r="A221" s="352"/>
      <c r="B221" s="340"/>
      <c r="C221" s="353" t="s">
        <v>530</v>
      </c>
      <c r="D221" s="340"/>
      <c r="E221" s="354"/>
      <c r="F221" s="354"/>
      <c r="G221" s="354"/>
      <c r="H221" s="355"/>
      <c r="I221" s="340"/>
      <c r="J221" s="340"/>
      <c r="K221" s="340"/>
    </row>
    <row r="222" spans="1:11" ht="15.6">
      <c r="A222" s="352"/>
      <c r="B222" s="340"/>
      <c r="C222" s="340"/>
      <c r="D222" s="340"/>
      <c r="E222" s="354"/>
      <c r="F222" s="354"/>
      <c r="G222" s="354"/>
      <c r="H222" s="355"/>
      <c r="I222" s="340"/>
      <c r="J222" s="340"/>
      <c r="K222" s="340"/>
    </row>
    <row r="223" spans="1:11" ht="15.6">
      <c r="A223" s="356" t="s">
        <v>0</v>
      </c>
      <c r="B223" s="357" t="s">
        <v>515</v>
      </c>
      <c r="C223" s="357" t="s">
        <v>517</v>
      </c>
      <c r="D223" s="357" t="s">
        <v>516</v>
      </c>
      <c r="E223" s="358" t="s">
        <v>518</v>
      </c>
      <c r="F223" s="358" t="s">
        <v>519</v>
      </c>
      <c r="G223" s="358"/>
      <c r="H223" s="368" t="s">
        <v>30</v>
      </c>
      <c r="I223" s="357" t="s">
        <v>520</v>
      </c>
      <c r="J223" s="357" t="s">
        <v>521</v>
      </c>
      <c r="K223" s="340"/>
    </row>
    <row r="224" spans="1:11" ht="15.6">
      <c r="A224" s="240">
        <v>45717</v>
      </c>
      <c r="B224" s="333" t="s">
        <v>1229</v>
      </c>
      <c r="C224" s="333"/>
      <c r="D224" s="333"/>
      <c r="E224" s="337"/>
      <c r="F224" s="337"/>
      <c r="G224" s="337"/>
      <c r="H224" s="338">
        <v>7400</v>
      </c>
      <c r="I224" s="333" t="s">
        <v>340</v>
      </c>
      <c r="J224" s="333"/>
      <c r="K224" s="340"/>
    </row>
    <row r="225" spans="1:11" ht="15.6">
      <c r="A225" s="330">
        <v>45722</v>
      </c>
      <c r="B225" s="278" t="s">
        <v>866</v>
      </c>
      <c r="C225" s="278" t="s">
        <v>127</v>
      </c>
      <c r="D225" s="278" t="s">
        <v>124</v>
      </c>
      <c r="E225" s="331">
        <v>20000</v>
      </c>
      <c r="F225" s="331"/>
      <c r="G225" s="331"/>
      <c r="H225" s="290">
        <v>27400</v>
      </c>
      <c r="I225" s="278" t="s">
        <v>340</v>
      </c>
      <c r="J225" s="331" t="s">
        <v>1309</v>
      </c>
      <c r="K225" s="340"/>
    </row>
    <row r="226" spans="1:11" ht="15.6">
      <c r="A226" s="330">
        <v>45726</v>
      </c>
      <c r="B226" s="278" t="s">
        <v>866</v>
      </c>
      <c r="C226" s="278" t="s">
        <v>127</v>
      </c>
      <c r="D226" s="278" t="s">
        <v>124</v>
      </c>
      <c r="E226" s="331">
        <v>249000</v>
      </c>
      <c r="F226" s="331"/>
      <c r="G226" s="331"/>
      <c r="H226" s="290">
        <v>276400</v>
      </c>
      <c r="I226" s="278" t="s">
        <v>340</v>
      </c>
      <c r="J226" s="331" t="s">
        <v>1310</v>
      </c>
      <c r="K226" s="340"/>
    </row>
    <row r="227" spans="1:11" ht="15.6">
      <c r="A227" s="330">
        <v>45727</v>
      </c>
      <c r="B227" s="278" t="s">
        <v>1559</v>
      </c>
      <c r="C227" s="278" t="s">
        <v>184</v>
      </c>
      <c r="D227" s="278" t="s">
        <v>124</v>
      </c>
      <c r="E227" s="331"/>
      <c r="F227" s="278">
        <v>70000</v>
      </c>
      <c r="G227" s="278"/>
      <c r="H227" s="290">
        <v>206400</v>
      </c>
      <c r="I227" s="278" t="s">
        <v>340</v>
      </c>
      <c r="J227" s="331" t="s">
        <v>1311</v>
      </c>
      <c r="K227" s="340"/>
    </row>
    <row r="228" spans="1:11" ht="15.6">
      <c r="A228" s="330">
        <v>45727</v>
      </c>
      <c r="B228" s="278" t="s">
        <v>1560</v>
      </c>
      <c r="C228" s="278" t="s">
        <v>179</v>
      </c>
      <c r="D228" s="278" t="s">
        <v>124</v>
      </c>
      <c r="E228" s="331"/>
      <c r="F228" s="278">
        <v>12000</v>
      </c>
      <c r="G228" s="278"/>
      <c r="H228" s="290">
        <v>194400</v>
      </c>
      <c r="I228" s="278" t="s">
        <v>340</v>
      </c>
      <c r="J228" s="331" t="s">
        <v>1312</v>
      </c>
      <c r="K228" s="340"/>
    </row>
    <row r="229" spans="1:11" ht="15.6">
      <c r="A229" s="330">
        <v>45732</v>
      </c>
      <c r="B229" s="278" t="s">
        <v>1561</v>
      </c>
      <c r="C229" s="278" t="s">
        <v>184</v>
      </c>
      <c r="D229" s="278" t="s">
        <v>124</v>
      </c>
      <c r="E229" s="331"/>
      <c r="F229" s="278">
        <v>75000</v>
      </c>
      <c r="G229" s="278"/>
      <c r="H229" s="290">
        <v>119400</v>
      </c>
      <c r="I229" s="278" t="s">
        <v>340</v>
      </c>
      <c r="J229" s="331" t="s">
        <v>1313</v>
      </c>
      <c r="K229" s="340"/>
    </row>
    <row r="230" spans="1:11" ht="15.6">
      <c r="A230" s="330">
        <v>45732</v>
      </c>
      <c r="B230" s="278" t="s">
        <v>1560</v>
      </c>
      <c r="C230" s="278" t="s">
        <v>179</v>
      </c>
      <c r="D230" s="278" t="s">
        <v>124</v>
      </c>
      <c r="E230" s="331"/>
      <c r="F230" s="278">
        <v>7000</v>
      </c>
      <c r="G230" s="278"/>
      <c r="H230" s="290">
        <v>112400</v>
      </c>
      <c r="I230" s="278" t="s">
        <v>340</v>
      </c>
      <c r="J230" s="331" t="s">
        <v>1314</v>
      </c>
      <c r="K230" s="340"/>
    </row>
    <row r="231" spans="1:11" ht="15.6">
      <c r="A231" s="330">
        <v>45734</v>
      </c>
      <c r="B231" s="278" t="s">
        <v>1562</v>
      </c>
      <c r="C231" s="278" t="s">
        <v>184</v>
      </c>
      <c r="D231" s="278" t="s">
        <v>124</v>
      </c>
      <c r="E231" s="331"/>
      <c r="F231" s="278">
        <v>30000</v>
      </c>
      <c r="G231" s="278"/>
      <c r="H231" s="290">
        <v>82400</v>
      </c>
      <c r="I231" s="278" t="s">
        <v>340</v>
      </c>
      <c r="J231" s="331" t="s">
        <v>1315</v>
      </c>
      <c r="K231" s="340"/>
    </row>
    <row r="232" spans="1:11" ht="15.6">
      <c r="A232" s="330">
        <v>45734</v>
      </c>
      <c r="B232" s="278" t="s">
        <v>1560</v>
      </c>
      <c r="C232" s="278" t="s">
        <v>179</v>
      </c>
      <c r="D232" s="278" t="s">
        <v>124</v>
      </c>
      <c r="E232" s="331"/>
      <c r="F232" s="278">
        <v>7000</v>
      </c>
      <c r="G232" s="278"/>
      <c r="H232" s="290">
        <v>75400</v>
      </c>
      <c r="I232" s="278" t="s">
        <v>340</v>
      </c>
      <c r="J232" s="331" t="s">
        <v>1316</v>
      </c>
      <c r="K232" s="340"/>
    </row>
    <row r="233" spans="1:11" ht="15.6">
      <c r="A233" s="330">
        <v>45735</v>
      </c>
      <c r="B233" s="278" t="s">
        <v>866</v>
      </c>
      <c r="C233" s="278" t="s">
        <v>1271</v>
      </c>
      <c r="D233" s="278" t="s">
        <v>124</v>
      </c>
      <c r="E233" s="331">
        <v>100000</v>
      </c>
      <c r="F233" s="331"/>
      <c r="G233" s="331"/>
      <c r="H233" s="290">
        <v>175400</v>
      </c>
      <c r="I233" s="278" t="s">
        <v>340</v>
      </c>
      <c r="J233" s="331" t="s">
        <v>1317</v>
      </c>
      <c r="K233" s="340"/>
    </row>
    <row r="234" spans="1:11" ht="15.6">
      <c r="A234" s="330">
        <v>45736</v>
      </c>
      <c r="B234" s="278" t="s">
        <v>866</v>
      </c>
      <c r="C234" s="278" t="s">
        <v>127</v>
      </c>
      <c r="D234" s="278" t="s">
        <v>124</v>
      </c>
      <c r="E234" s="331">
        <v>20000</v>
      </c>
      <c r="F234" s="331"/>
      <c r="G234" s="331"/>
      <c r="H234" s="290">
        <v>195400</v>
      </c>
      <c r="I234" s="278" t="s">
        <v>340</v>
      </c>
      <c r="J234" s="331" t="s">
        <v>1318</v>
      </c>
      <c r="K234" s="340"/>
    </row>
    <row r="235" spans="1:11" ht="15.6">
      <c r="A235" s="330">
        <v>45736</v>
      </c>
      <c r="B235" s="278" t="s">
        <v>866</v>
      </c>
      <c r="C235" s="278" t="s">
        <v>127</v>
      </c>
      <c r="D235" s="278" t="s">
        <v>124</v>
      </c>
      <c r="E235" s="331">
        <v>150000</v>
      </c>
      <c r="F235" s="331"/>
      <c r="G235" s="331"/>
      <c r="H235" s="290">
        <v>345400</v>
      </c>
      <c r="I235" s="278" t="s">
        <v>340</v>
      </c>
      <c r="J235" s="331" t="s">
        <v>1319</v>
      </c>
      <c r="K235" s="340"/>
    </row>
    <row r="236" spans="1:11" ht="15.6">
      <c r="A236" s="330">
        <v>45736</v>
      </c>
      <c r="B236" s="278" t="s">
        <v>1560</v>
      </c>
      <c r="C236" s="278" t="s">
        <v>179</v>
      </c>
      <c r="D236" s="278" t="s">
        <v>124</v>
      </c>
      <c r="E236" s="331"/>
      <c r="F236" s="278">
        <v>6000</v>
      </c>
      <c r="G236" s="278"/>
      <c r="H236" s="290">
        <v>339400</v>
      </c>
      <c r="I236" s="278" t="s">
        <v>340</v>
      </c>
      <c r="J236" s="331" t="s">
        <v>1320</v>
      </c>
      <c r="K236" s="340"/>
    </row>
    <row r="237" spans="1:11" ht="15.6">
      <c r="A237" s="330">
        <v>45737</v>
      </c>
      <c r="B237" s="278" t="s">
        <v>1563</v>
      </c>
      <c r="C237" s="278" t="s">
        <v>184</v>
      </c>
      <c r="D237" s="278" t="s">
        <v>124</v>
      </c>
      <c r="E237" s="331"/>
      <c r="F237" s="278">
        <v>70000</v>
      </c>
      <c r="G237" s="278"/>
      <c r="H237" s="290">
        <v>269400</v>
      </c>
      <c r="I237" s="278" t="s">
        <v>340</v>
      </c>
      <c r="J237" s="331" t="s">
        <v>1321</v>
      </c>
      <c r="K237" s="340"/>
    </row>
    <row r="238" spans="1:11" ht="15.6">
      <c r="A238" s="330">
        <v>45740</v>
      </c>
      <c r="B238" s="278" t="s">
        <v>866</v>
      </c>
      <c r="C238" s="278" t="s">
        <v>127</v>
      </c>
      <c r="D238" s="278" t="s">
        <v>124</v>
      </c>
      <c r="E238" s="331">
        <v>89000</v>
      </c>
      <c r="F238" s="278"/>
      <c r="G238" s="278"/>
      <c r="H238" s="290">
        <v>358400</v>
      </c>
      <c r="I238" s="278" t="s">
        <v>340</v>
      </c>
      <c r="J238" s="331" t="s">
        <v>1322</v>
      </c>
      <c r="K238" s="340"/>
    </row>
    <row r="239" spans="1:11" ht="15.6">
      <c r="A239" s="330">
        <v>45742</v>
      </c>
      <c r="B239" s="278" t="s">
        <v>1564</v>
      </c>
      <c r="C239" s="278" t="s">
        <v>184</v>
      </c>
      <c r="D239" s="278" t="s">
        <v>124</v>
      </c>
      <c r="E239" s="331"/>
      <c r="F239" s="278">
        <v>75000</v>
      </c>
      <c r="G239" s="278"/>
      <c r="H239" s="290">
        <v>283400</v>
      </c>
      <c r="I239" s="278" t="s">
        <v>340</v>
      </c>
      <c r="J239" s="331" t="s">
        <v>1323</v>
      </c>
      <c r="K239" s="340"/>
    </row>
    <row r="240" spans="1:11" ht="15.6">
      <c r="A240" s="330">
        <v>45742</v>
      </c>
      <c r="B240" s="278" t="s">
        <v>1560</v>
      </c>
      <c r="C240" s="278" t="s">
        <v>179</v>
      </c>
      <c r="D240" s="278" t="s">
        <v>124</v>
      </c>
      <c r="E240" s="331"/>
      <c r="F240" s="278">
        <v>3000</v>
      </c>
      <c r="G240" s="278"/>
      <c r="H240" s="290">
        <v>280400</v>
      </c>
      <c r="I240" s="278" t="s">
        <v>340</v>
      </c>
      <c r="J240" s="331" t="s">
        <v>1324</v>
      </c>
      <c r="K240" s="340"/>
    </row>
    <row r="241" spans="1:11" ht="15.6">
      <c r="A241" s="330">
        <v>45744</v>
      </c>
      <c r="B241" s="278" t="s">
        <v>1565</v>
      </c>
      <c r="C241" s="278" t="s">
        <v>184</v>
      </c>
      <c r="D241" s="278" t="s">
        <v>124</v>
      </c>
      <c r="E241" s="331"/>
      <c r="F241" s="278">
        <v>30000</v>
      </c>
      <c r="G241" s="278"/>
      <c r="H241" s="290">
        <v>250400</v>
      </c>
      <c r="I241" s="278" t="s">
        <v>340</v>
      </c>
      <c r="J241" s="331" t="s">
        <v>1325</v>
      </c>
      <c r="K241" s="340"/>
    </row>
    <row r="242" spans="1:11" ht="15.6">
      <c r="A242" s="330">
        <v>45744</v>
      </c>
      <c r="B242" s="278" t="s">
        <v>1560</v>
      </c>
      <c r="C242" s="278" t="s">
        <v>179</v>
      </c>
      <c r="D242" s="278" t="s">
        <v>124</v>
      </c>
      <c r="E242" s="331"/>
      <c r="F242" s="278">
        <v>7000</v>
      </c>
      <c r="G242" s="278"/>
      <c r="H242" s="290">
        <v>243400</v>
      </c>
      <c r="I242" s="278" t="s">
        <v>340</v>
      </c>
      <c r="J242" s="331" t="s">
        <v>1326</v>
      </c>
      <c r="K242" s="340"/>
    </row>
    <row r="243" spans="1:11" ht="15.6">
      <c r="A243" s="330">
        <v>45747</v>
      </c>
      <c r="B243" s="278" t="s">
        <v>1327</v>
      </c>
      <c r="C243" s="278" t="s">
        <v>411</v>
      </c>
      <c r="D243" s="278" t="s">
        <v>124</v>
      </c>
      <c r="E243" s="331"/>
      <c r="F243" s="278">
        <v>30100</v>
      </c>
      <c r="G243" s="278"/>
      <c r="H243" s="290">
        <v>213300</v>
      </c>
      <c r="I243" s="278" t="s">
        <v>340</v>
      </c>
      <c r="J243" s="331" t="s">
        <v>1328</v>
      </c>
      <c r="K243" s="340"/>
    </row>
    <row r="244" spans="1:11" ht="15.6">
      <c r="A244" s="330">
        <v>45747</v>
      </c>
      <c r="B244" s="278" t="s">
        <v>1329</v>
      </c>
      <c r="C244" s="278" t="s">
        <v>179</v>
      </c>
      <c r="D244" s="278" t="s">
        <v>124</v>
      </c>
      <c r="E244" s="331"/>
      <c r="F244" s="278">
        <v>89800</v>
      </c>
      <c r="G244" s="278"/>
      <c r="H244" s="290">
        <v>123500</v>
      </c>
      <c r="I244" s="278" t="s">
        <v>340</v>
      </c>
      <c r="J244" s="331" t="s">
        <v>1330</v>
      </c>
      <c r="K244" s="340"/>
    </row>
    <row r="245" spans="1:11" ht="15.6">
      <c r="A245" s="329"/>
      <c r="B245" s="340"/>
      <c r="C245" s="340"/>
      <c r="D245" s="340"/>
      <c r="E245" s="366">
        <f>SUM(E224:E244)</f>
        <v>628000</v>
      </c>
      <c r="F245" s="366">
        <f>SUM(F224:F244)</f>
        <v>511900</v>
      </c>
      <c r="G245" s="366"/>
      <c r="H245" s="378">
        <f>+E245-F245+H224</f>
        <v>123500</v>
      </c>
      <c r="I245" s="340"/>
      <c r="J245" s="340"/>
      <c r="K245" s="340"/>
    </row>
    <row r="246" spans="1:11" ht="15.6">
      <c r="A246" s="329"/>
      <c r="B246" s="340"/>
      <c r="C246" s="340"/>
      <c r="D246" s="340"/>
      <c r="E246" s="366"/>
      <c r="F246" s="366"/>
      <c r="G246" s="366"/>
      <c r="H246" s="378"/>
      <c r="I246" s="340"/>
      <c r="J246" s="340"/>
      <c r="K246" s="340"/>
    </row>
    <row r="247" spans="1:11" ht="15.6">
      <c r="A247" s="352"/>
      <c r="B247" s="340"/>
      <c r="C247" s="353" t="s">
        <v>533</v>
      </c>
      <c r="D247" s="340"/>
      <c r="E247" s="354"/>
      <c r="F247" s="354"/>
      <c r="G247" s="354"/>
      <c r="H247" s="355"/>
      <c r="I247" s="340"/>
      <c r="J247" s="340"/>
      <c r="K247" s="340"/>
    </row>
    <row r="248" spans="1:11" ht="15.6">
      <c r="A248" s="352"/>
      <c r="B248" s="340"/>
      <c r="C248" s="340"/>
      <c r="D248" s="340"/>
      <c r="E248" s="354"/>
      <c r="F248" s="354"/>
      <c r="G248" s="354"/>
      <c r="H248" s="355"/>
      <c r="I248" s="340"/>
      <c r="J248" s="340"/>
      <c r="K248" s="340"/>
    </row>
    <row r="249" spans="1:11" ht="15.6">
      <c r="A249" s="356" t="s">
        <v>0</v>
      </c>
      <c r="B249" s="357" t="s">
        <v>515</v>
      </c>
      <c r="C249" s="357" t="s">
        <v>517</v>
      </c>
      <c r="D249" s="357" t="s">
        <v>516</v>
      </c>
      <c r="E249" s="358" t="s">
        <v>518</v>
      </c>
      <c r="F249" s="358" t="s">
        <v>519</v>
      </c>
      <c r="G249" s="358"/>
      <c r="H249" s="368" t="s">
        <v>30</v>
      </c>
      <c r="I249" s="357" t="s">
        <v>520</v>
      </c>
      <c r="J249" s="357" t="s">
        <v>521</v>
      </c>
      <c r="K249" s="360"/>
    </row>
    <row r="250" spans="1:11" ht="15.6">
      <c r="A250" s="240">
        <v>45717</v>
      </c>
      <c r="B250" s="333" t="s">
        <v>1228</v>
      </c>
      <c r="C250" s="333"/>
      <c r="D250" s="333"/>
      <c r="E250" s="337"/>
      <c r="F250" s="337"/>
      <c r="G250" s="337"/>
      <c r="H250" s="379">
        <v>19050</v>
      </c>
      <c r="I250" s="333" t="s">
        <v>351</v>
      </c>
      <c r="J250" s="333"/>
      <c r="K250" s="340"/>
    </row>
    <row r="251" spans="1:11" ht="15.6">
      <c r="A251" s="370">
        <v>45722</v>
      </c>
      <c r="B251" s="349" t="s">
        <v>534</v>
      </c>
      <c r="C251" s="349" t="s">
        <v>127</v>
      </c>
      <c r="D251" s="376" t="s">
        <v>124</v>
      </c>
      <c r="E251" s="371">
        <v>100000</v>
      </c>
      <c r="F251" s="371"/>
      <c r="G251" s="371"/>
      <c r="H251" s="371">
        <v>119050</v>
      </c>
      <c r="I251" s="349" t="s">
        <v>351</v>
      </c>
      <c r="J251" s="349" t="s">
        <v>1331</v>
      </c>
      <c r="K251" s="340"/>
    </row>
    <row r="252" spans="1:11" ht="15.6">
      <c r="A252" s="370">
        <v>45722</v>
      </c>
      <c r="B252" s="349" t="s">
        <v>1553</v>
      </c>
      <c r="C252" s="349" t="s">
        <v>179</v>
      </c>
      <c r="D252" s="376" t="s">
        <v>124</v>
      </c>
      <c r="E252" s="371"/>
      <c r="F252" s="371">
        <v>7000</v>
      </c>
      <c r="G252" s="371"/>
      <c r="H252" s="371">
        <v>112050</v>
      </c>
      <c r="I252" s="349" t="s">
        <v>351</v>
      </c>
      <c r="J252" s="349" t="s">
        <v>1332</v>
      </c>
      <c r="K252" s="340"/>
    </row>
    <row r="253" spans="1:11" ht="15.6">
      <c r="A253" s="370">
        <v>45723</v>
      </c>
      <c r="B253" s="349" t="s">
        <v>1557</v>
      </c>
      <c r="C253" s="349" t="s">
        <v>526</v>
      </c>
      <c r="D253" s="376" t="s">
        <v>124</v>
      </c>
      <c r="E253" s="371"/>
      <c r="F253" s="371">
        <v>170000</v>
      </c>
      <c r="G253" s="371"/>
      <c r="H253" s="371">
        <v>-57950</v>
      </c>
      <c r="I253" s="349" t="s">
        <v>351</v>
      </c>
      <c r="J253" s="349" t="s">
        <v>1333</v>
      </c>
      <c r="K253" s="340"/>
    </row>
    <row r="254" spans="1:11" ht="15.6">
      <c r="A254" s="370">
        <v>45726</v>
      </c>
      <c r="B254" s="349" t="s">
        <v>1334</v>
      </c>
      <c r="C254" s="349" t="s">
        <v>414</v>
      </c>
      <c r="D254" s="376" t="s">
        <v>124</v>
      </c>
      <c r="E254" s="371"/>
      <c r="F254" s="371">
        <v>16000</v>
      </c>
      <c r="G254" s="371"/>
      <c r="H254" s="371">
        <v>-73950</v>
      </c>
      <c r="I254" s="349" t="s">
        <v>351</v>
      </c>
      <c r="J254" s="349" t="s">
        <v>1335</v>
      </c>
      <c r="K254" s="340"/>
    </row>
    <row r="255" spans="1:11" ht="15.6">
      <c r="A255" s="370">
        <v>45726</v>
      </c>
      <c r="B255" s="349" t="s">
        <v>534</v>
      </c>
      <c r="C255" s="349" t="s">
        <v>127</v>
      </c>
      <c r="D255" s="376" t="s">
        <v>124</v>
      </c>
      <c r="E255" s="371">
        <v>139000</v>
      </c>
      <c r="F255" s="371"/>
      <c r="G255" s="371"/>
      <c r="H255" s="371">
        <v>65050</v>
      </c>
      <c r="I255" s="349" t="s">
        <v>351</v>
      </c>
      <c r="J255" s="349" t="s">
        <v>1336</v>
      </c>
      <c r="K255" s="340"/>
    </row>
    <row r="256" spans="1:11" ht="15.6">
      <c r="A256" s="370">
        <v>45729</v>
      </c>
      <c r="B256" s="349" t="s">
        <v>534</v>
      </c>
      <c r="C256" s="349" t="s">
        <v>127</v>
      </c>
      <c r="D256" s="376" t="s">
        <v>124</v>
      </c>
      <c r="E256" s="371">
        <v>87000</v>
      </c>
      <c r="F256" s="371"/>
      <c r="G256" s="371"/>
      <c r="H256" s="371">
        <v>152050</v>
      </c>
      <c r="I256" s="349" t="s">
        <v>351</v>
      </c>
      <c r="J256" s="349" t="s">
        <v>1337</v>
      </c>
      <c r="K256" s="340"/>
    </row>
    <row r="257" spans="1:11" ht="15.6">
      <c r="A257" s="370">
        <v>45733</v>
      </c>
      <c r="B257" s="349" t="s">
        <v>534</v>
      </c>
      <c r="C257" s="349" t="s">
        <v>127</v>
      </c>
      <c r="D257" s="376" t="s">
        <v>124</v>
      </c>
      <c r="E257" s="371">
        <v>116000</v>
      </c>
      <c r="F257" s="371"/>
      <c r="G257" s="371"/>
      <c r="H257" s="371">
        <v>268050</v>
      </c>
      <c r="I257" s="349" t="s">
        <v>351</v>
      </c>
      <c r="J257" s="349" t="s">
        <v>1338</v>
      </c>
      <c r="K257" s="340"/>
    </row>
    <row r="258" spans="1:11" ht="15.6">
      <c r="A258" s="370">
        <v>45736</v>
      </c>
      <c r="B258" s="349" t="s">
        <v>534</v>
      </c>
      <c r="C258" s="349" t="s">
        <v>127</v>
      </c>
      <c r="D258" s="376" t="s">
        <v>124</v>
      </c>
      <c r="E258" s="371">
        <v>58000</v>
      </c>
      <c r="F258" s="371"/>
      <c r="G258" s="371"/>
      <c r="H258" s="371">
        <v>326050</v>
      </c>
      <c r="I258" s="349" t="s">
        <v>351</v>
      </c>
      <c r="J258" s="349" t="s">
        <v>1339</v>
      </c>
      <c r="K258" s="340"/>
    </row>
    <row r="259" spans="1:11" ht="15.6">
      <c r="A259" s="219">
        <v>45736</v>
      </c>
      <c r="B259" s="349" t="s">
        <v>968</v>
      </c>
      <c r="C259" s="349" t="s">
        <v>189</v>
      </c>
      <c r="D259" s="376" t="s">
        <v>121</v>
      </c>
      <c r="E259" s="350">
        <v>6320</v>
      </c>
      <c r="F259" s="350"/>
      <c r="G259" s="350"/>
      <c r="H259" s="371">
        <v>332370</v>
      </c>
      <c r="I259" s="349" t="s">
        <v>351</v>
      </c>
      <c r="J259" s="220" t="s">
        <v>1110</v>
      </c>
      <c r="K259" s="340"/>
    </row>
    <row r="260" spans="1:11" ht="15.6">
      <c r="A260" s="219">
        <v>45736</v>
      </c>
      <c r="B260" s="349" t="s">
        <v>968</v>
      </c>
      <c r="C260" s="349" t="s">
        <v>189</v>
      </c>
      <c r="D260" s="376" t="s">
        <v>121</v>
      </c>
      <c r="E260" s="350"/>
      <c r="F260" s="350">
        <v>6320</v>
      </c>
      <c r="G260" s="350"/>
      <c r="H260" s="371">
        <v>326050</v>
      </c>
      <c r="I260" s="349" t="s">
        <v>351</v>
      </c>
      <c r="J260" s="220" t="s">
        <v>1110</v>
      </c>
      <c r="K260" s="340"/>
    </row>
    <row r="261" spans="1:11" ht="15.6">
      <c r="A261" s="370">
        <v>45738</v>
      </c>
      <c r="B261" s="349" t="s">
        <v>1558</v>
      </c>
      <c r="C261" s="349" t="s">
        <v>526</v>
      </c>
      <c r="D261" s="376" t="s">
        <v>124</v>
      </c>
      <c r="E261" s="371"/>
      <c r="F261" s="371">
        <v>225000</v>
      </c>
      <c r="G261" s="371"/>
      <c r="H261" s="371">
        <v>101050</v>
      </c>
      <c r="I261" s="349" t="s">
        <v>351</v>
      </c>
      <c r="J261" s="349" t="s">
        <v>1340</v>
      </c>
      <c r="K261" s="340"/>
    </row>
    <row r="262" spans="1:11" ht="15.6">
      <c r="A262" s="370">
        <v>45738</v>
      </c>
      <c r="B262" s="349" t="s">
        <v>1553</v>
      </c>
      <c r="C262" s="349" t="s">
        <v>179</v>
      </c>
      <c r="D262" s="376" t="s">
        <v>124</v>
      </c>
      <c r="E262" s="371"/>
      <c r="F262" s="371">
        <v>7000</v>
      </c>
      <c r="G262" s="371"/>
      <c r="H262" s="371">
        <v>94050</v>
      </c>
      <c r="I262" s="349" t="s">
        <v>351</v>
      </c>
      <c r="J262" s="349" t="s">
        <v>1341</v>
      </c>
      <c r="K262" s="340"/>
    </row>
    <row r="263" spans="1:11" ht="15.6">
      <c r="A263" s="370">
        <v>45740</v>
      </c>
      <c r="B263" s="349" t="s">
        <v>1556</v>
      </c>
      <c r="C263" s="349" t="s">
        <v>526</v>
      </c>
      <c r="D263" s="376" t="s">
        <v>124</v>
      </c>
      <c r="E263" s="371"/>
      <c r="F263" s="371">
        <v>30000</v>
      </c>
      <c r="G263" s="371"/>
      <c r="H263" s="371">
        <v>64050</v>
      </c>
      <c r="I263" s="349" t="s">
        <v>351</v>
      </c>
      <c r="J263" s="349" t="s">
        <v>1342</v>
      </c>
      <c r="K263" s="340"/>
    </row>
    <row r="264" spans="1:11" ht="15.6">
      <c r="A264" s="370">
        <v>45741</v>
      </c>
      <c r="B264" s="349" t="s">
        <v>534</v>
      </c>
      <c r="C264" s="349" t="s">
        <v>127</v>
      </c>
      <c r="D264" s="376" t="s">
        <v>124</v>
      </c>
      <c r="E264" s="371">
        <v>25000</v>
      </c>
      <c r="F264" s="371"/>
      <c r="G264" s="371"/>
      <c r="H264" s="371">
        <v>89050</v>
      </c>
      <c r="I264" s="349" t="s">
        <v>351</v>
      </c>
      <c r="J264" s="349" t="s">
        <v>1339</v>
      </c>
      <c r="K264" s="340"/>
    </row>
    <row r="265" spans="1:11" ht="15.6">
      <c r="A265" s="370">
        <v>45741</v>
      </c>
      <c r="B265" s="349" t="s">
        <v>534</v>
      </c>
      <c r="C265" s="349" t="s">
        <v>127</v>
      </c>
      <c r="D265" s="376" t="s">
        <v>124</v>
      </c>
      <c r="E265" s="371">
        <v>10000</v>
      </c>
      <c r="F265" s="371"/>
      <c r="G265" s="371"/>
      <c r="H265" s="371">
        <v>99050</v>
      </c>
      <c r="I265" s="349" t="s">
        <v>351</v>
      </c>
      <c r="J265" s="349" t="s">
        <v>1343</v>
      </c>
      <c r="K265" s="340"/>
    </row>
    <row r="266" spans="1:11" ht="15.6">
      <c r="A266" s="370">
        <v>45741</v>
      </c>
      <c r="B266" s="349" t="s">
        <v>1344</v>
      </c>
      <c r="C266" s="349" t="s">
        <v>1345</v>
      </c>
      <c r="D266" s="376" t="s">
        <v>124</v>
      </c>
      <c r="E266" s="371"/>
      <c r="F266" s="371">
        <v>10000</v>
      </c>
      <c r="G266" s="371"/>
      <c r="H266" s="371">
        <v>89050</v>
      </c>
      <c r="I266" s="349" t="s">
        <v>351</v>
      </c>
      <c r="J266" s="349" t="s">
        <v>1346</v>
      </c>
      <c r="K266" s="340"/>
    </row>
    <row r="267" spans="1:11" ht="15.6">
      <c r="A267" s="219">
        <v>45741</v>
      </c>
      <c r="B267" s="349" t="s">
        <v>980</v>
      </c>
      <c r="C267" s="349" t="s">
        <v>189</v>
      </c>
      <c r="D267" s="349" t="s">
        <v>121</v>
      </c>
      <c r="E267" s="350">
        <v>11820</v>
      </c>
      <c r="F267" s="350"/>
      <c r="G267" s="350"/>
      <c r="H267" s="371">
        <v>72870</v>
      </c>
      <c r="I267" s="349" t="s">
        <v>351</v>
      </c>
      <c r="J267" s="220" t="s">
        <v>1117</v>
      </c>
      <c r="K267" s="340"/>
    </row>
    <row r="268" spans="1:11" ht="15.6">
      <c r="A268" s="219">
        <v>45741</v>
      </c>
      <c r="B268" s="349" t="s">
        <v>980</v>
      </c>
      <c r="C268" s="349" t="s">
        <v>189</v>
      </c>
      <c r="D268" s="349" t="s">
        <v>121</v>
      </c>
      <c r="E268" s="350"/>
      <c r="F268" s="350">
        <v>11820</v>
      </c>
      <c r="G268" s="350"/>
      <c r="H268" s="371">
        <v>61050</v>
      </c>
      <c r="I268" s="349" t="s">
        <v>351</v>
      </c>
      <c r="J268" s="220" t="s">
        <v>1117</v>
      </c>
      <c r="K268" s="340"/>
    </row>
    <row r="269" spans="1:11" ht="15.6">
      <c r="A269" s="370">
        <v>45747</v>
      </c>
      <c r="B269" s="349" t="s">
        <v>534</v>
      </c>
      <c r="C269" s="349" t="s">
        <v>127</v>
      </c>
      <c r="D269" s="349" t="s">
        <v>124</v>
      </c>
      <c r="E269" s="371">
        <v>28000</v>
      </c>
      <c r="F269" s="371"/>
      <c r="G269" s="371"/>
      <c r="H269" s="371">
        <v>89050</v>
      </c>
      <c r="I269" s="349" t="s">
        <v>351</v>
      </c>
      <c r="J269" s="349" t="s">
        <v>1347</v>
      </c>
      <c r="K269" s="340"/>
    </row>
    <row r="270" spans="1:11" ht="15.6">
      <c r="A270" s="370">
        <v>45747</v>
      </c>
      <c r="B270" s="349" t="s">
        <v>1348</v>
      </c>
      <c r="C270" s="349" t="s">
        <v>179</v>
      </c>
      <c r="D270" s="349" t="s">
        <v>124</v>
      </c>
      <c r="E270" s="371"/>
      <c r="F270" s="371">
        <v>50500</v>
      </c>
      <c r="G270" s="371"/>
      <c r="H270" s="371">
        <v>38550</v>
      </c>
      <c r="I270" s="349" t="s">
        <v>351</v>
      </c>
      <c r="J270" s="349" t="s">
        <v>1349</v>
      </c>
      <c r="K270" s="340"/>
    </row>
    <row r="271" spans="1:11" ht="15.6">
      <c r="A271" s="329"/>
      <c r="B271" s="340"/>
      <c r="C271" s="340"/>
      <c r="D271" s="340"/>
      <c r="E271" s="366">
        <f>SUM(E251:E270)</f>
        <v>581140</v>
      </c>
      <c r="F271" s="366">
        <f>SUM(F251:F270)</f>
        <v>533640</v>
      </c>
      <c r="G271" s="366"/>
      <c r="H271" s="380">
        <f>+E271-F271+H250</f>
        <v>66550</v>
      </c>
      <c r="I271" s="340"/>
      <c r="J271" s="340"/>
      <c r="K271" s="340"/>
    </row>
    <row r="272" spans="1:11" ht="15.6">
      <c r="A272" s="352"/>
      <c r="B272" s="340"/>
      <c r="C272" s="353" t="s">
        <v>535</v>
      </c>
      <c r="D272" s="340"/>
      <c r="E272" s="354"/>
      <c r="F272" s="354"/>
      <c r="G272" s="354"/>
      <c r="H272" s="355"/>
      <c r="I272" s="340"/>
      <c r="J272" s="340"/>
      <c r="K272" s="340"/>
    </row>
    <row r="273" spans="1:11" ht="15.6">
      <c r="A273" s="356" t="s">
        <v>0</v>
      </c>
      <c r="B273" s="357" t="s">
        <v>515</v>
      </c>
      <c r="C273" s="357" t="s">
        <v>517</v>
      </c>
      <c r="D273" s="357" t="s">
        <v>516</v>
      </c>
      <c r="E273" s="358" t="s">
        <v>518</v>
      </c>
      <c r="F273" s="358" t="s">
        <v>519</v>
      </c>
      <c r="G273" s="358"/>
      <c r="H273" s="368" t="s">
        <v>30</v>
      </c>
      <c r="I273" s="357" t="s">
        <v>520</v>
      </c>
      <c r="J273" s="357" t="s">
        <v>521</v>
      </c>
      <c r="K273" s="360"/>
    </row>
    <row r="274" spans="1:11" ht="15.6">
      <c r="A274" s="240">
        <v>45717</v>
      </c>
      <c r="B274" s="333" t="s">
        <v>1230</v>
      </c>
      <c r="C274" s="333"/>
      <c r="D274" s="333"/>
      <c r="E274" s="337"/>
      <c r="F274" s="337"/>
      <c r="G274" s="381"/>
      <c r="H274" s="332">
        <v>123047</v>
      </c>
      <c r="I274" s="333" t="s">
        <v>195</v>
      </c>
      <c r="J274" s="333"/>
      <c r="K274" s="340"/>
    </row>
    <row r="275" spans="1:11" ht="15.6">
      <c r="A275" s="382">
        <v>45720</v>
      </c>
      <c r="B275" s="349" t="s">
        <v>1350</v>
      </c>
      <c r="C275" s="349" t="s">
        <v>184</v>
      </c>
      <c r="D275" s="349" t="s">
        <v>524</v>
      </c>
      <c r="E275" s="349"/>
      <c r="F275" s="349">
        <v>40000</v>
      </c>
      <c r="G275" s="349"/>
      <c r="H275" s="383">
        <f t="shared" ref="H275:H292" si="6">H274+E275-F275</f>
        <v>83047</v>
      </c>
      <c r="I275" s="349" t="s">
        <v>195</v>
      </c>
      <c r="J275" s="349" t="s">
        <v>1351</v>
      </c>
      <c r="K275" s="340"/>
    </row>
    <row r="276" spans="1:11" ht="15.6">
      <c r="A276" s="382">
        <v>45720</v>
      </c>
      <c r="B276" s="349" t="s">
        <v>1352</v>
      </c>
      <c r="C276" s="349" t="s">
        <v>127</v>
      </c>
      <c r="D276" s="349" t="s">
        <v>524</v>
      </c>
      <c r="E276" s="349">
        <v>100000</v>
      </c>
      <c r="F276" s="349"/>
      <c r="G276" s="349"/>
      <c r="H276" s="383">
        <f t="shared" si="6"/>
        <v>183047</v>
      </c>
      <c r="I276" s="349" t="s">
        <v>195</v>
      </c>
      <c r="J276" s="349" t="s">
        <v>1353</v>
      </c>
      <c r="K276" s="340"/>
    </row>
    <row r="277" spans="1:11" ht="15.6">
      <c r="A277" s="384">
        <v>45724</v>
      </c>
      <c r="B277" s="349" t="s">
        <v>1354</v>
      </c>
      <c r="C277" s="349" t="s">
        <v>184</v>
      </c>
      <c r="D277" s="349" t="s">
        <v>524</v>
      </c>
      <c r="E277" s="349"/>
      <c r="F277" s="349">
        <v>165000</v>
      </c>
      <c r="G277" s="349"/>
      <c r="H277" s="383">
        <f t="shared" si="6"/>
        <v>18047</v>
      </c>
      <c r="I277" s="349" t="s">
        <v>195</v>
      </c>
      <c r="J277" s="349" t="s">
        <v>1355</v>
      </c>
      <c r="K277" s="340"/>
    </row>
    <row r="278" spans="1:11" ht="15.6">
      <c r="A278" s="382">
        <v>45730</v>
      </c>
      <c r="B278" s="349" t="s">
        <v>1352</v>
      </c>
      <c r="C278" s="349" t="s">
        <v>127</v>
      </c>
      <c r="D278" s="349" t="s">
        <v>524</v>
      </c>
      <c r="E278" s="349">
        <v>20000</v>
      </c>
      <c r="F278" s="349"/>
      <c r="G278" s="349"/>
      <c r="H278" s="383">
        <f t="shared" si="6"/>
        <v>38047</v>
      </c>
      <c r="I278" s="349" t="s">
        <v>195</v>
      </c>
      <c r="J278" s="349" t="s">
        <v>1356</v>
      </c>
      <c r="K278" s="340"/>
    </row>
    <row r="279" spans="1:11" ht="15.6">
      <c r="A279" s="382">
        <v>45732</v>
      </c>
      <c r="B279" s="349" t="s">
        <v>1352</v>
      </c>
      <c r="C279" s="349" t="s">
        <v>127</v>
      </c>
      <c r="D279" s="349" t="s">
        <v>524</v>
      </c>
      <c r="E279" s="349">
        <v>75000</v>
      </c>
      <c r="F279" s="349"/>
      <c r="G279" s="349"/>
      <c r="H279" s="383">
        <f t="shared" si="6"/>
        <v>113047</v>
      </c>
      <c r="I279" s="349" t="s">
        <v>195</v>
      </c>
      <c r="J279" s="349" t="s">
        <v>1357</v>
      </c>
      <c r="K279" s="340"/>
    </row>
    <row r="280" spans="1:11" ht="15.6">
      <c r="A280" s="382">
        <v>45732</v>
      </c>
      <c r="B280" s="349" t="s">
        <v>1358</v>
      </c>
      <c r="C280" s="349" t="s">
        <v>179</v>
      </c>
      <c r="D280" s="349" t="s">
        <v>524</v>
      </c>
      <c r="E280" s="349"/>
      <c r="F280" s="349">
        <v>10000</v>
      </c>
      <c r="G280" s="349"/>
      <c r="H280" s="383">
        <f t="shared" si="6"/>
        <v>103047</v>
      </c>
      <c r="I280" s="349" t="s">
        <v>195</v>
      </c>
      <c r="J280" s="349" t="s">
        <v>1359</v>
      </c>
      <c r="K280" s="340"/>
    </row>
    <row r="281" spans="1:11" ht="15.6">
      <c r="A281" s="382">
        <v>45733</v>
      </c>
      <c r="B281" s="349" t="s">
        <v>1360</v>
      </c>
      <c r="C281" s="349" t="s">
        <v>184</v>
      </c>
      <c r="D281" s="349" t="s">
        <v>524</v>
      </c>
      <c r="E281" s="349"/>
      <c r="F281" s="349">
        <v>120000</v>
      </c>
      <c r="G281" s="349"/>
      <c r="H281" s="383">
        <f t="shared" si="6"/>
        <v>-16953</v>
      </c>
      <c r="I281" s="349" t="s">
        <v>195</v>
      </c>
      <c r="J281" s="349" t="s">
        <v>1361</v>
      </c>
      <c r="K281" s="340"/>
    </row>
    <row r="282" spans="1:11" ht="15.6">
      <c r="A282" s="382">
        <v>45735</v>
      </c>
      <c r="B282" s="349" t="s">
        <v>1362</v>
      </c>
      <c r="C282" s="349" t="s">
        <v>127</v>
      </c>
      <c r="D282" s="349" t="s">
        <v>524</v>
      </c>
      <c r="E282" s="349">
        <v>75000</v>
      </c>
      <c r="F282" s="349"/>
      <c r="G282" s="349"/>
      <c r="H282" s="383">
        <f t="shared" si="6"/>
        <v>58047</v>
      </c>
      <c r="I282" s="349" t="s">
        <v>195</v>
      </c>
      <c r="J282" s="349" t="s">
        <v>1363</v>
      </c>
      <c r="K282" s="340"/>
    </row>
    <row r="283" spans="1:11" ht="15.6">
      <c r="A283" s="382">
        <v>45737</v>
      </c>
      <c r="B283" s="349" t="s">
        <v>1364</v>
      </c>
      <c r="C283" s="349" t="s">
        <v>127</v>
      </c>
      <c r="D283" s="349" t="s">
        <v>524</v>
      </c>
      <c r="E283" s="349">
        <v>100000</v>
      </c>
      <c r="F283" s="349"/>
      <c r="G283" s="349"/>
      <c r="H283" s="383">
        <f t="shared" si="6"/>
        <v>158047</v>
      </c>
      <c r="I283" s="349" t="s">
        <v>195</v>
      </c>
      <c r="J283" s="349" t="s">
        <v>1365</v>
      </c>
      <c r="K283" s="340"/>
    </row>
    <row r="284" spans="1:11" ht="15.6">
      <c r="A284" s="382">
        <v>45738</v>
      </c>
      <c r="B284" s="349" t="s">
        <v>260</v>
      </c>
      <c r="C284" s="349" t="s">
        <v>184</v>
      </c>
      <c r="D284" s="349" t="s">
        <v>208</v>
      </c>
      <c r="E284" s="349"/>
      <c r="F284" s="349">
        <v>9600</v>
      </c>
      <c r="G284" s="349"/>
      <c r="H284" s="383">
        <f t="shared" si="6"/>
        <v>148447</v>
      </c>
      <c r="I284" s="349" t="s">
        <v>195</v>
      </c>
      <c r="J284" s="349" t="s">
        <v>1366</v>
      </c>
      <c r="K284" s="340"/>
    </row>
    <row r="285" spans="1:11" ht="15.6">
      <c r="A285" s="382">
        <v>45741</v>
      </c>
      <c r="B285" s="349" t="s">
        <v>1352</v>
      </c>
      <c r="C285" s="349" t="s">
        <v>127</v>
      </c>
      <c r="D285" s="349" t="s">
        <v>524</v>
      </c>
      <c r="E285" s="349">
        <v>110000</v>
      </c>
      <c r="F285" s="349"/>
      <c r="G285" s="349"/>
      <c r="H285" s="383">
        <f t="shared" si="6"/>
        <v>258447</v>
      </c>
      <c r="I285" s="349" t="s">
        <v>195</v>
      </c>
      <c r="J285" s="349" t="s">
        <v>1367</v>
      </c>
      <c r="K285" s="340"/>
    </row>
    <row r="286" spans="1:11" ht="15.6">
      <c r="A286" s="382">
        <v>45743</v>
      </c>
      <c r="B286" s="349" t="s">
        <v>1368</v>
      </c>
      <c r="C286" s="349" t="s">
        <v>179</v>
      </c>
      <c r="D286" s="349" t="s">
        <v>524</v>
      </c>
      <c r="E286" s="349"/>
      <c r="F286" s="349">
        <v>8000</v>
      </c>
      <c r="G286" s="349"/>
      <c r="H286" s="383">
        <f t="shared" si="6"/>
        <v>250447</v>
      </c>
      <c r="I286" s="349" t="s">
        <v>195</v>
      </c>
      <c r="J286" s="349" t="s">
        <v>1369</v>
      </c>
      <c r="K286" s="340"/>
    </row>
    <row r="287" spans="1:11" ht="15.6">
      <c r="A287" s="382">
        <v>45744</v>
      </c>
      <c r="B287" s="349" t="s">
        <v>1370</v>
      </c>
      <c r="C287" s="349" t="s">
        <v>334</v>
      </c>
      <c r="D287" s="349" t="s">
        <v>524</v>
      </c>
      <c r="E287" s="349"/>
      <c r="F287" s="349">
        <v>41500</v>
      </c>
      <c r="G287" s="349"/>
      <c r="H287" s="383">
        <f t="shared" si="6"/>
        <v>208947</v>
      </c>
      <c r="I287" s="349" t="s">
        <v>195</v>
      </c>
      <c r="J287" s="349" t="s">
        <v>1371</v>
      </c>
      <c r="K287" s="340"/>
    </row>
    <row r="288" spans="1:11" ht="15.6">
      <c r="A288" s="382">
        <v>45745</v>
      </c>
      <c r="B288" s="349" t="s">
        <v>1372</v>
      </c>
      <c r="C288" s="349" t="s">
        <v>184</v>
      </c>
      <c r="D288" s="349" t="s">
        <v>524</v>
      </c>
      <c r="E288" s="349"/>
      <c r="F288" s="349">
        <v>150000</v>
      </c>
      <c r="G288" s="349"/>
      <c r="H288" s="383">
        <f t="shared" si="6"/>
        <v>58947</v>
      </c>
      <c r="I288" s="349" t="s">
        <v>195</v>
      </c>
      <c r="J288" s="349" t="s">
        <v>1373</v>
      </c>
      <c r="K288" s="340"/>
    </row>
    <row r="289" spans="1:11" ht="15.6">
      <c r="A289" s="382">
        <v>45745</v>
      </c>
      <c r="B289" s="349" t="s">
        <v>1374</v>
      </c>
      <c r="C289" s="349" t="s">
        <v>184</v>
      </c>
      <c r="D289" s="349" t="s">
        <v>524</v>
      </c>
      <c r="E289" s="349"/>
      <c r="F289" s="349">
        <v>30000</v>
      </c>
      <c r="G289" s="349"/>
      <c r="H289" s="383">
        <f t="shared" si="6"/>
        <v>28947</v>
      </c>
      <c r="I289" s="349" t="s">
        <v>195</v>
      </c>
      <c r="J289" s="349" t="s">
        <v>1375</v>
      </c>
      <c r="K289" s="340"/>
    </row>
    <row r="290" spans="1:11" ht="15.6">
      <c r="A290" s="382">
        <v>45745</v>
      </c>
      <c r="B290" s="349" t="s">
        <v>1376</v>
      </c>
      <c r="C290" s="349" t="s">
        <v>179</v>
      </c>
      <c r="D290" s="349" t="s">
        <v>524</v>
      </c>
      <c r="E290" s="349"/>
      <c r="F290" s="349">
        <v>6000</v>
      </c>
      <c r="G290" s="349"/>
      <c r="H290" s="383">
        <f t="shared" si="6"/>
        <v>22947</v>
      </c>
      <c r="I290" s="349" t="s">
        <v>195</v>
      </c>
      <c r="J290" s="349" t="s">
        <v>1377</v>
      </c>
      <c r="K290" s="340"/>
    </row>
    <row r="291" spans="1:11" ht="15.6">
      <c r="A291" s="382">
        <v>45745</v>
      </c>
      <c r="B291" s="349" t="s">
        <v>1378</v>
      </c>
      <c r="C291" s="349" t="s">
        <v>179</v>
      </c>
      <c r="D291" s="349" t="s">
        <v>524</v>
      </c>
      <c r="E291" s="349"/>
      <c r="F291" s="349">
        <v>7000</v>
      </c>
      <c r="G291" s="349"/>
      <c r="H291" s="383">
        <f t="shared" si="6"/>
        <v>15947</v>
      </c>
      <c r="I291" s="349" t="s">
        <v>195</v>
      </c>
      <c r="J291" s="349" t="s">
        <v>1379</v>
      </c>
      <c r="K291" s="340"/>
    </row>
    <row r="292" spans="1:11" ht="15.6">
      <c r="A292" s="382">
        <v>45745</v>
      </c>
      <c r="B292" s="349" t="s">
        <v>1380</v>
      </c>
      <c r="C292" s="349" t="s">
        <v>179</v>
      </c>
      <c r="D292" s="349" t="s">
        <v>524</v>
      </c>
      <c r="E292" s="349"/>
      <c r="F292" s="349">
        <v>49400</v>
      </c>
      <c r="G292" s="349"/>
      <c r="H292" s="383">
        <f t="shared" si="6"/>
        <v>-33453</v>
      </c>
      <c r="I292" s="349" t="s">
        <v>195</v>
      </c>
      <c r="J292" s="349" t="s">
        <v>1381</v>
      </c>
      <c r="K292" s="340"/>
    </row>
    <row r="293" spans="1:11" ht="15.6">
      <c r="A293" s="329"/>
      <c r="B293" s="340"/>
      <c r="C293" s="340"/>
      <c r="D293" s="340"/>
      <c r="E293" s="366">
        <f>SUM(E274:E292)</f>
        <v>480000</v>
      </c>
      <c r="F293" s="366">
        <f>SUM(F274:F292)</f>
        <v>636500</v>
      </c>
      <c r="G293" s="366"/>
      <c r="H293" s="385">
        <f>+E293-F293+H274</f>
        <v>-33453</v>
      </c>
      <c r="I293" s="340"/>
      <c r="J293" s="340"/>
      <c r="K293" s="340"/>
    </row>
    <row r="294" spans="1:11" ht="15.6">
      <c r="A294" s="329"/>
      <c r="B294" s="340"/>
      <c r="C294" s="340"/>
      <c r="D294" s="340"/>
      <c r="E294" s="354"/>
      <c r="F294" s="354"/>
      <c r="G294" s="354"/>
      <c r="H294" s="385"/>
      <c r="I294" s="340"/>
      <c r="J294" s="340"/>
      <c r="K294" s="340"/>
    </row>
    <row r="295" spans="1:11" ht="15.6">
      <c r="A295" s="329"/>
      <c r="B295" s="340"/>
      <c r="C295" s="340"/>
      <c r="D295" s="340"/>
      <c r="E295" s="354"/>
      <c r="F295" s="354"/>
      <c r="G295" s="354"/>
      <c r="H295" s="385"/>
      <c r="I295" s="340"/>
      <c r="J295" s="340"/>
      <c r="K295" s="340"/>
    </row>
    <row r="296" spans="1:11">
      <c r="A296" s="386"/>
      <c r="B296" s="375"/>
      <c r="C296" s="375"/>
      <c r="D296" s="375"/>
      <c r="E296" s="387"/>
      <c r="F296" s="387"/>
      <c r="G296" s="387"/>
      <c r="H296" s="388"/>
      <c r="I296" s="375"/>
      <c r="J296" s="375"/>
      <c r="K296" s="375"/>
    </row>
    <row r="297" spans="1:11" ht="15.6">
      <c r="A297" s="352"/>
      <c r="B297" s="340"/>
      <c r="C297" s="353" t="s">
        <v>536</v>
      </c>
      <c r="D297" s="340"/>
      <c r="E297" s="354"/>
      <c r="F297" s="354"/>
      <c r="G297" s="354"/>
      <c r="H297" s="355"/>
      <c r="I297" s="340"/>
      <c r="J297" s="340"/>
      <c r="K297" s="340"/>
    </row>
    <row r="298" spans="1:11" ht="15.6">
      <c r="A298" s="352"/>
      <c r="B298" s="340"/>
      <c r="C298" s="340"/>
      <c r="D298" s="340"/>
      <c r="E298" s="354"/>
      <c r="F298" s="354"/>
      <c r="G298" s="354"/>
      <c r="H298" s="355"/>
      <c r="I298" s="340"/>
      <c r="J298" s="340"/>
      <c r="K298" s="340"/>
    </row>
    <row r="299" spans="1:11" ht="15.6">
      <c r="A299" s="356" t="s">
        <v>0</v>
      </c>
      <c r="B299" s="357" t="s">
        <v>515</v>
      </c>
      <c r="C299" s="357" t="s">
        <v>517</v>
      </c>
      <c r="D299" s="357" t="s">
        <v>516</v>
      </c>
      <c r="E299" s="358" t="s">
        <v>518</v>
      </c>
      <c r="F299" s="358" t="s">
        <v>519</v>
      </c>
      <c r="G299" s="358"/>
      <c r="H299" s="359" t="s">
        <v>30</v>
      </c>
      <c r="I299" s="357" t="s">
        <v>520</v>
      </c>
      <c r="J299" s="357" t="s">
        <v>521</v>
      </c>
      <c r="K299" s="360"/>
    </row>
    <row r="300" spans="1:11" ht="15.6">
      <c r="A300" s="240">
        <v>45717</v>
      </c>
      <c r="B300" s="333" t="s">
        <v>1231</v>
      </c>
      <c r="C300" s="333"/>
      <c r="D300" s="333"/>
      <c r="E300" s="337"/>
      <c r="F300" s="337"/>
      <c r="G300" s="337"/>
      <c r="H300" s="389">
        <v>128800</v>
      </c>
      <c r="I300" s="333" t="s">
        <v>198</v>
      </c>
      <c r="J300" s="333"/>
      <c r="K300" s="340"/>
    </row>
    <row r="301" spans="1:11" ht="15.6">
      <c r="A301" s="326">
        <v>45717</v>
      </c>
      <c r="B301" s="349" t="s">
        <v>1382</v>
      </c>
      <c r="C301" s="349" t="s">
        <v>179</v>
      </c>
      <c r="D301" s="349" t="s">
        <v>120</v>
      </c>
      <c r="E301" s="371"/>
      <c r="F301" s="350">
        <v>7000</v>
      </c>
      <c r="G301" s="350"/>
      <c r="H301" s="371">
        <f t="shared" ref="H301:H319" si="7">+H300+E301-F301</f>
        <v>121800</v>
      </c>
      <c r="I301" s="349" t="s">
        <v>198</v>
      </c>
      <c r="J301" s="349" t="s">
        <v>1383</v>
      </c>
      <c r="K301" s="340"/>
    </row>
    <row r="302" spans="1:11" ht="15.6">
      <c r="A302" s="326">
        <v>45717</v>
      </c>
      <c r="B302" s="349" t="s">
        <v>1384</v>
      </c>
      <c r="C302" s="349" t="s">
        <v>526</v>
      </c>
      <c r="D302" s="349" t="s">
        <v>120</v>
      </c>
      <c r="E302" s="371"/>
      <c r="F302" s="350">
        <v>135000</v>
      </c>
      <c r="G302" s="350"/>
      <c r="H302" s="371">
        <f t="shared" si="7"/>
        <v>-13200</v>
      </c>
      <c r="I302" s="349" t="s">
        <v>198</v>
      </c>
      <c r="J302" s="349" t="s">
        <v>1385</v>
      </c>
      <c r="K302" s="340"/>
    </row>
    <row r="303" spans="1:11" ht="15.6">
      <c r="A303" s="334">
        <v>45719</v>
      </c>
      <c r="B303" s="349" t="s">
        <v>941</v>
      </c>
      <c r="C303" s="349" t="s">
        <v>176</v>
      </c>
      <c r="D303" s="349" t="s">
        <v>121</v>
      </c>
      <c r="E303" s="350">
        <v>62500</v>
      </c>
      <c r="F303" s="350"/>
      <c r="G303" s="350"/>
      <c r="H303" s="371">
        <f t="shared" si="7"/>
        <v>49300</v>
      </c>
      <c r="I303" s="349" t="s">
        <v>198</v>
      </c>
      <c r="J303" s="220" t="s">
        <v>1079</v>
      </c>
      <c r="K303" s="340"/>
    </row>
    <row r="304" spans="1:11" ht="15.6">
      <c r="A304" s="334">
        <v>45719</v>
      </c>
      <c r="B304" s="349" t="s">
        <v>941</v>
      </c>
      <c r="C304" s="349" t="s">
        <v>176</v>
      </c>
      <c r="D304" s="349" t="s">
        <v>121</v>
      </c>
      <c r="E304" s="350"/>
      <c r="F304" s="350">
        <v>62500</v>
      </c>
      <c r="G304" s="350"/>
      <c r="H304" s="371">
        <f t="shared" si="7"/>
        <v>-13200</v>
      </c>
      <c r="I304" s="349" t="s">
        <v>198</v>
      </c>
      <c r="J304" s="220" t="s">
        <v>1079</v>
      </c>
      <c r="K304" s="340"/>
    </row>
    <row r="305" spans="1:11" ht="15.6">
      <c r="A305" s="326">
        <v>45721</v>
      </c>
      <c r="B305" s="349" t="s">
        <v>537</v>
      </c>
      <c r="C305" s="371" t="s">
        <v>127</v>
      </c>
      <c r="D305" s="349" t="s">
        <v>120</v>
      </c>
      <c r="E305" s="371">
        <v>30000</v>
      </c>
      <c r="F305" s="350"/>
      <c r="G305" s="350"/>
      <c r="H305" s="371">
        <f t="shared" si="7"/>
        <v>16800</v>
      </c>
      <c r="I305" s="349" t="s">
        <v>198</v>
      </c>
      <c r="J305" s="349" t="s">
        <v>1386</v>
      </c>
      <c r="K305" s="340"/>
    </row>
    <row r="306" spans="1:11" ht="15.6">
      <c r="A306" s="326">
        <v>45732</v>
      </c>
      <c r="B306" s="349" t="s">
        <v>537</v>
      </c>
      <c r="C306" s="371" t="s">
        <v>127</v>
      </c>
      <c r="D306" s="349" t="s">
        <v>120</v>
      </c>
      <c r="E306" s="371">
        <v>73000</v>
      </c>
      <c r="F306" s="350"/>
      <c r="G306" s="350"/>
      <c r="H306" s="371">
        <f t="shared" si="7"/>
        <v>89800</v>
      </c>
      <c r="I306" s="349" t="s">
        <v>198</v>
      </c>
      <c r="J306" s="349" t="s">
        <v>1387</v>
      </c>
      <c r="K306" s="340"/>
    </row>
    <row r="307" spans="1:11" ht="15.6">
      <c r="A307" s="326">
        <v>45732</v>
      </c>
      <c r="B307" s="349" t="s">
        <v>1388</v>
      </c>
      <c r="C307" s="349" t="s">
        <v>179</v>
      </c>
      <c r="D307" s="349" t="s">
        <v>120</v>
      </c>
      <c r="E307" s="371"/>
      <c r="F307" s="350">
        <v>10000</v>
      </c>
      <c r="G307" s="350"/>
      <c r="H307" s="371">
        <f t="shared" si="7"/>
        <v>79800</v>
      </c>
      <c r="I307" s="349" t="s">
        <v>198</v>
      </c>
      <c r="J307" s="349" t="s">
        <v>1389</v>
      </c>
      <c r="K307" s="340"/>
    </row>
    <row r="308" spans="1:11" ht="15.6">
      <c r="A308" s="326">
        <v>45733</v>
      </c>
      <c r="B308" s="349" t="s">
        <v>1390</v>
      </c>
      <c r="C308" s="349" t="s">
        <v>526</v>
      </c>
      <c r="D308" s="371"/>
      <c r="E308" s="371"/>
      <c r="F308" s="350">
        <v>90000</v>
      </c>
      <c r="G308" s="350"/>
      <c r="H308" s="371">
        <f t="shared" si="7"/>
        <v>-10200</v>
      </c>
      <c r="I308" s="349" t="s">
        <v>198</v>
      </c>
      <c r="J308" s="349" t="s">
        <v>1391</v>
      </c>
      <c r="K308" s="340"/>
    </row>
    <row r="309" spans="1:11" ht="15.6">
      <c r="A309" s="326">
        <v>45735</v>
      </c>
      <c r="B309" s="349" t="s">
        <v>537</v>
      </c>
      <c r="C309" s="371" t="s">
        <v>127</v>
      </c>
      <c r="D309" s="349" t="s">
        <v>120</v>
      </c>
      <c r="E309" s="371">
        <v>73000</v>
      </c>
      <c r="F309" s="350"/>
      <c r="G309" s="350"/>
      <c r="H309" s="371">
        <f t="shared" si="7"/>
        <v>62800</v>
      </c>
      <c r="I309" s="349" t="s">
        <v>198</v>
      </c>
      <c r="J309" s="349" t="s">
        <v>1392</v>
      </c>
      <c r="K309" s="340"/>
    </row>
    <row r="310" spans="1:11" ht="15.6">
      <c r="A310" s="326">
        <v>45737</v>
      </c>
      <c r="B310" s="349" t="s">
        <v>537</v>
      </c>
      <c r="C310" s="371" t="s">
        <v>127</v>
      </c>
      <c r="D310" s="349" t="s">
        <v>120</v>
      </c>
      <c r="E310" s="371">
        <v>100000</v>
      </c>
      <c r="F310" s="350"/>
      <c r="G310" s="350"/>
      <c r="H310" s="371">
        <f t="shared" si="7"/>
        <v>162800</v>
      </c>
      <c r="I310" s="349" t="s">
        <v>198</v>
      </c>
      <c r="J310" s="349" t="s">
        <v>1393</v>
      </c>
      <c r="K310" s="340"/>
    </row>
    <row r="311" spans="1:11" ht="15.6">
      <c r="A311" s="326">
        <v>45738</v>
      </c>
      <c r="B311" s="349" t="s">
        <v>604</v>
      </c>
      <c r="C311" s="349" t="s">
        <v>526</v>
      </c>
      <c r="D311" s="349" t="s">
        <v>208</v>
      </c>
      <c r="E311" s="371"/>
      <c r="F311" s="350">
        <v>8900</v>
      </c>
      <c r="G311" s="350"/>
      <c r="H311" s="371">
        <f t="shared" si="7"/>
        <v>153900</v>
      </c>
      <c r="I311" s="349" t="s">
        <v>198</v>
      </c>
      <c r="J311" s="349" t="s">
        <v>1394</v>
      </c>
      <c r="K311" s="340"/>
    </row>
    <row r="312" spans="1:11" ht="15.6">
      <c r="A312" s="326">
        <v>45741</v>
      </c>
      <c r="B312" s="349" t="s">
        <v>1395</v>
      </c>
      <c r="C312" s="349" t="s">
        <v>179</v>
      </c>
      <c r="D312" s="349" t="s">
        <v>120</v>
      </c>
      <c r="E312" s="371"/>
      <c r="F312" s="350">
        <v>10000</v>
      </c>
      <c r="G312" s="350"/>
      <c r="H312" s="371">
        <f t="shared" si="7"/>
        <v>143900</v>
      </c>
      <c r="I312" s="349" t="s">
        <v>198</v>
      </c>
      <c r="J312" s="349" t="s">
        <v>1396</v>
      </c>
      <c r="K312" s="340"/>
    </row>
    <row r="313" spans="1:11" ht="15.6">
      <c r="A313" s="326">
        <v>45741</v>
      </c>
      <c r="B313" s="349" t="s">
        <v>537</v>
      </c>
      <c r="C313" s="371" t="s">
        <v>127</v>
      </c>
      <c r="D313" s="349" t="s">
        <v>120</v>
      </c>
      <c r="E313" s="371">
        <v>35000</v>
      </c>
      <c r="F313" s="350"/>
      <c r="G313" s="350"/>
      <c r="H313" s="371">
        <f t="shared" si="7"/>
        <v>178900</v>
      </c>
      <c r="I313" s="349" t="s">
        <v>198</v>
      </c>
      <c r="J313" s="349" t="s">
        <v>1397</v>
      </c>
      <c r="K313" s="340"/>
    </row>
    <row r="314" spans="1:11" ht="15.6">
      <c r="A314" s="326">
        <v>45741</v>
      </c>
      <c r="B314" s="375" t="s">
        <v>1398</v>
      </c>
      <c r="C314" s="349" t="s">
        <v>309</v>
      </c>
      <c r="D314" s="349" t="s">
        <v>120</v>
      </c>
      <c r="E314" s="390"/>
      <c r="F314" s="350">
        <v>14000</v>
      </c>
      <c r="G314" s="350"/>
      <c r="H314" s="371">
        <f t="shared" si="7"/>
        <v>164900</v>
      </c>
      <c r="I314" s="349" t="s">
        <v>198</v>
      </c>
      <c r="J314" s="349" t="s">
        <v>1399</v>
      </c>
      <c r="K314" s="340"/>
    </row>
    <row r="315" spans="1:11" ht="15.6">
      <c r="A315" s="326">
        <v>45741</v>
      </c>
      <c r="B315" s="349" t="s">
        <v>1400</v>
      </c>
      <c r="C315" s="349" t="s">
        <v>526</v>
      </c>
      <c r="D315" s="349" t="s">
        <v>120</v>
      </c>
      <c r="E315" s="371"/>
      <c r="F315" s="350">
        <v>135000</v>
      </c>
      <c r="G315" s="350"/>
      <c r="H315" s="371">
        <f t="shared" si="7"/>
        <v>29900</v>
      </c>
      <c r="I315" s="349" t="s">
        <v>198</v>
      </c>
      <c r="J315" s="349" t="s">
        <v>1401</v>
      </c>
      <c r="K315" s="340"/>
    </row>
    <row r="316" spans="1:11" ht="15.6">
      <c r="A316" s="335">
        <v>45744</v>
      </c>
      <c r="B316" s="349" t="s">
        <v>1402</v>
      </c>
      <c r="C316" s="349" t="s">
        <v>179</v>
      </c>
      <c r="D316" s="349" t="s">
        <v>120</v>
      </c>
      <c r="E316" s="349"/>
      <c r="F316" s="372">
        <v>35500</v>
      </c>
      <c r="G316" s="372"/>
      <c r="H316" s="371">
        <f t="shared" si="7"/>
        <v>-5600</v>
      </c>
      <c r="I316" s="349" t="s">
        <v>198</v>
      </c>
      <c r="J316" s="349" t="s">
        <v>1403</v>
      </c>
      <c r="K316" s="340"/>
    </row>
    <row r="317" spans="1:11" ht="15.6">
      <c r="A317" s="335">
        <v>45744</v>
      </c>
      <c r="B317" s="349" t="s">
        <v>537</v>
      </c>
      <c r="C317" s="371" t="s">
        <v>127</v>
      </c>
      <c r="D317" s="349"/>
      <c r="E317" s="371">
        <v>20000</v>
      </c>
      <c r="F317" s="350"/>
      <c r="G317" s="350"/>
      <c r="H317" s="371">
        <f t="shared" si="7"/>
        <v>14400</v>
      </c>
      <c r="I317" s="349" t="s">
        <v>198</v>
      </c>
      <c r="J317" s="349" t="s">
        <v>1404</v>
      </c>
      <c r="K317" s="340"/>
    </row>
    <row r="318" spans="1:11" ht="15.6">
      <c r="A318" s="219">
        <v>45744</v>
      </c>
      <c r="B318" s="349" t="s">
        <v>992</v>
      </c>
      <c r="C318" s="349" t="s">
        <v>189</v>
      </c>
      <c r="D318" s="349" t="s">
        <v>121</v>
      </c>
      <c r="E318" s="350">
        <v>8825</v>
      </c>
      <c r="F318" s="350"/>
      <c r="G318" s="350"/>
      <c r="H318" s="371">
        <f t="shared" si="7"/>
        <v>23225</v>
      </c>
      <c r="I318" s="349" t="s">
        <v>198</v>
      </c>
      <c r="J318" s="220" t="s">
        <v>1121</v>
      </c>
      <c r="K318" s="340"/>
    </row>
    <row r="319" spans="1:11" ht="15.6">
      <c r="A319" s="219">
        <v>45744</v>
      </c>
      <c r="B319" s="349" t="s">
        <v>992</v>
      </c>
      <c r="C319" s="349" t="s">
        <v>189</v>
      </c>
      <c r="D319" s="349" t="s">
        <v>121</v>
      </c>
      <c r="E319" s="350"/>
      <c r="F319" s="350">
        <v>8825</v>
      </c>
      <c r="G319" s="350"/>
      <c r="H319" s="371">
        <f t="shared" si="7"/>
        <v>14400</v>
      </c>
      <c r="I319" s="349" t="s">
        <v>198</v>
      </c>
      <c r="J319" s="220" t="s">
        <v>1121</v>
      </c>
      <c r="K319" s="340"/>
    </row>
    <row r="320" spans="1:11" ht="15.6">
      <c r="A320" s="334"/>
      <c r="B320" s="375"/>
      <c r="C320" s="375"/>
      <c r="D320" s="375"/>
      <c r="E320" s="244">
        <f>SUM(E301:E319)</f>
        <v>402325</v>
      </c>
      <c r="F320" s="244">
        <f>SUM(F301:F319)</f>
        <v>516725</v>
      </c>
      <c r="G320" s="244"/>
      <c r="H320" s="385">
        <f>E320-F320+H300</f>
        <v>14400</v>
      </c>
      <c r="I320" s="340"/>
      <c r="J320" s="340"/>
      <c r="K320" s="340"/>
    </row>
    <row r="321" spans="1:11" ht="15.6">
      <c r="A321" s="334"/>
      <c r="B321" s="375"/>
      <c r="C321" s="375"/>
      <c r="D321" s="375"/>
      <c r="E321" s="390"/>
      <c r="F321" s="354"/>
      <c r="G321" s="354"/>
      <c r="H321" s="385"/>
      <c r="I321" s="340"/>
      <c r="J321" s="340"/>
      <c r="K321" s="340"/>
    </row>
    <row r="322" spans="1:11" ht="15.6">
      <c r="A322" s="334"/>
      <c r="B322" s="375"/>
      <c r="C322" s="375"/>
      <c r="D322" s="375"/>
      <c r="E322" s="390"/>
      <c r="F322" s="354"/>
      <c r="G322" s="354"/>
      <c r="H322" s="385"/>
      <c r="I322" s="340"/>
      <c r="J322" s="340"/>
      <c r="K322" s="340"/>
    </row>
    <row r="323" spans="1:11" ht="15.6">
      <c r="A323" s="334"/>
      <c r="B323" s="411" t="s">
        <v>538</v>
      </c>
      <c r="C323" s="411"/>
      <c r="D323" s="411"/>
      <c r="E323" s="411"/>
      <c r="F323" s="354"/>
      <c r="G323" s="354"/>
      <c r="H323" s="385"/>
      <c r="I323" s="340"/>
      <c r="J323" s="340"/>
      <c r="K323" s="340"/>
    </row>
    <row r="324" spans="1:11" ht="15.6">
      <c r="A324" s="352"/>
      <c r="B324" s="340"/>
      <c r="C324" s="340"/>
      <c r="D324" s="340"/>
      <c r="E324" s="354"/>
      <c r="F324" s="354"/>
      <c r="G324" s="354"/>
      <c r="H324" s="355"/>
      <c r="I324" s="340"/>
      <c r="J324" s="340"/>
      <c r="K324" s="340"/>
    </row>
    <row r="325" spans="1:11" ht="15.6">
      <c r="A325" s="356" t="s">
        <v>0</v>
      </c>
      <c r="B325" s="357" t="s">
        <v>515</v>
      </c>
      <c r="C325" s="357" t="s">
        <v>517</v>
      </c>
      <c r="D325" s="357" t="s">
        <v>516</v>
      </c>
      <c r="E325" s="358" t="s">
        <v>518</v>
      </c>
      <c r="F325" s="358" t="s">
        <v>519</v>
      </c>
      <c r="G325" s="358"/>
      <c r="H325" s="368" t="s">
        <v>30</v>
      </c>
      <c r="I325" s="357" t="s">
        <v>520</v>
      </c>
      <c r="J325" s="357" t="s">
        <v>521</v>
      </c>
      <c r="K325" s="360"/>
    </row>
    <row r="326" spans="1:11" ht="15.6">
      <c r="A326" s="240">
        <v>45717</v>
      </c>
      <c r="B326" s="333" t="s">
        <v>1229</v>
      </c>
      <c r="C326" s="333"/>
      <c r="D326" s="333"/>
      <c r="E326" s="337"/>
      <c r="F326" s="337"/>
      <c r="G326" s="381"/>
      <c r="H326" s="332">
        <v>10600</v>
      </c>
      <c r="I326" s="333" t="s">
        <v>201</v>
      </c>
      <c r="J326" s="333"/>
      <c r="K326" s="340"/>
    </row>
    <row r="327" spans="1:11" ht="15.6">
      <c r="A327" s="334">
        <v>45720</v>
      </c>
      <c r="B327" s="349" t="s">
        <v>950</v>
      </c>
      <c r="C327" s="375" t="s">
        <v>189</v>
      </c>
      <c r="D327" s="349" t="s">
        <v>121</v>
      </c>
      <c r="E327" s="350"/>
      <c r="F327" s="350">
        <v>1952</v>
      </c>
      <c r="G327" s="350"/>
      <c r="H327" s="371">
        <f t="shared" ref="H327:H361" si="8">+H326+E327-F327</f>
        <v>8648</v>
      </c>
      <c r="I327" s="349" t="s">
        <v>201</v>
      </c>
      <c r="J327" s="220" t="s">
        <v>1082</v>
      </c>
      <c r="K327" s="340"/>
    </row>
    <row r="328" spans="1:11" ht="15.6">
      <c r="A328" s="334">
        <v>45720</v>
      </c>
      <c r="B328" s="349" t="s">
        <v>950</v>
      </c>
      <c r="C328" s="375" t="s">
        <v>189</v>
      </c>
      <c r="D328" s="349" t="s">
        <v>121</v>
      </c>
      <c r="E328" s="350">
        <v>1952</v>
      </c>
      <c r="F328" s="350"/>
      <c r="G328" s="350"/>
      <c r="H328" s="371">
        <f t="shared" si="8"/>
        <v>10600</v>
      </c>
      <c r="I328" s="349" t="s">
        <v>201</v>
      </c>
      <c r="J328" s="220" t="s">
        <v>1082</v>
      </c>
      <c r="K328" s="340"/>
    </row>
    <row r="329" spans="1:11" ht="15.6">
      <c r="A329" s="334">
        <v>45722</v>
      </c>
      <c r="B329" s="349" t="s">
        <v>957</v>
      </c>
      <c r="C329" s="349" t="s">
        <v>189</v>
      </c>
      <c r="D329" s="349" t="s">
        <v>121</v>
      </c>
      <c r="E329" s="350"/>
      <c r="F329" s="350">
        <v>1952</v>
      </c>
      <c r="G329" s="350"/>
      <c r="H329" s="371">
        <f t="shared" si="8"/>
        <v>8648</v>
      </c>
      <c r="I329" s="349" t="s">
        <v>201</v>
      </c>
      <c r="J329" s="220" t="s">
        <v>1088</v>
      </c>
      <c r="K329" s="340"/>
    </row>
    <row r="330" spans="1:11" ht="15.6">
      <c r="A330" s="334">
        <v>45722</v>
      </c>
      <c r="B330" s="349" t="s">
        <v>957</v>
      </c>
      <c r="C330" s="349" t="s">
        <v>189</v>
      </c>
      <c r="D330" s="349" t="s">
        <v>121</v>
      </c>
      <c r="E330" s="350">
        <v>1952</v>
      </c>
      <c r="F330" s="350"/>
      <c r="G330" s="350"/>
      <c r="H330" s="371">
        <f t="shared" si="8"/>
        <v>10600</v>
      </c>
      <c r="I330" s="349" t="s">
        <v>201</v>
      </c>
      <c r="J330" s="220" t="s">
        <v>1088</v>
      </c>
      <c r="K330" s="340"/>
    </row>
    <row r="331" spans="1:11" ht="15.6">
      <c r="A331" s="334">
        <v>45726</v>
      </c>
      <c r="B331" s="349" t="s">
        <v>644</v>
      </c>
      <c r="C331" s="349" t="s">
        <v>189</v>
      </c>
      <c r="D331" s="349" t="s">
        <v>121</v>
      </c>
      <c r="E331" s="350"/>
      <c r="F331" s="350">
        <v>4170</v>
      </c>
      <c r="G331" s="350"/>
      <c r="H331" s="371">
        <f t="shared" si="8"/>
        <v>6430</v>
      </c>
      <c r="I331" s="349" t="s">
        <v>201</v>
      </c>
      <c r="J331" s="220" t="s">
        <v>1090</v>
      </c>
      <c r="K331" s="340"/>
    </row>
    <row r="332" spans="1:11" ht="15.6">
      <c r="A332" s="334">
        <v>45726</v>
      </c>
      <c r="B332" s="349" t="s">
        <v>644</v>
      </c>
      <c r="C332" s="349" t="s">
        <v>189</v>
      </c>
      <c r="D332" s="349" t="s">
        <v>121</v>
      </c>
      <c r="E332" s="350">
        <v>4170</v>
      </c>
      <c r="F332" s="350"/>
      <c r="G332" s="350"/>
      <c r="H332" s="371">
        <f t="shared" si="8"/>
        <v>10600</v>
      </c>
      <c r="I332" s="349" t="s">
        <v>201</v>
      </c>
      <c r="J332" s="220" t="s">
        <v>1090</v>
      </c>
      <c r="K332" s="340"/>
    </row>
    <row r="333" spans="1:11" ht="15.6">
      <c r="A333" s="334">
        <v>45727</v>
      </c>
      <c r="B333" s="349" t="s">
        <v>962</v>
      </c>
      <c r="C333" s="375" t="s">
        <v>129</v>
      </c>
      <c r="D333" s="349" t="s">
        <v>121</v>
      </c>
      <c r="E333" s="350"/>
      <c r="F333" s="350">
        <v>72102</v>
      </c>
      <c r="G333" s="350"/>
      <c r="H333" s="371">
        <f t="shared" si="8"/>
        <v>-61502</v>
      </c>
      <c r="I333" s="349" t="s">
        <v>201</v>
      </c>
      <c r="J333" s="220" t="s">
        <v>1091</v>
      </c>
      <c r="K333" s="340"/>
    </row>
    <row r="334" spans="1:11" ht="15.6">
      <c r="A334" s="219">
        <v>45727</v>
      </c>
      <c r="B334" s="349" t="s">
        <v>962</v>
      </c>
      <c r="C334" s="349" t="s">
        <v>129</v>
      </c>
      <c r="D334" s="349" t="s">
        <v>121</v>
      </c>
      <c r="E334" s="350">
        <v>72102</v>
      </c>
      <c r="F334" s="350"/>
      <c r="G334" s="350"/>
      <c r="H334" s="371">
        <f t="shared" si="8"/>
        <v>10600</v>
      </c>
      <c r="I334" s="349" t="s">
        <v>201</v>
      </c>
      <c r="J334" s="220" t="s">
        <v>1091</v>
      </c>
      <c r="K334" s="340"/>
    </row>
    <row r="335" spans="1:11" ht="15.6">
      <c r="A335" s="219">
        <v>45728</v>
      </c>
      <c r="B335" s="349" t="s">
        <v>640</v>
      </c>
      <c r="C335" s="349" t="s">
        <v>176</v>
      </c>
      <c r="D335" s="349" t="s">
        <v>121</v>
      </c>
      <c r="E335" s="350"/>
      <c r="F335" s="350">
        <v>25000</v>
      </c>
      <c r="G335" s="350"/>
      <c r="H335" s="371">
        <f t="shared" si="8"/>
        <v>-14400</v>
      </c>
      <c r="I335" s="349" t="s">
        <v>201</v>
      </c>
      <c r="J335" s="220" t="s">
        <v>1093</v>
      </c>
      <c r="K335" s="340"/>
    </row>
    <row r="336" spans="1:11" ht="15.6">
      <c r="A336" s="219">
        <v>45728</v>
      </c>
      <c r="B336" s="349" t="s">
        <v>640</v>
      </c>
      <c r="C336" s="349" t="s">
        <v>176</v>
      </c>
      <c r="D336" s="349" t="s">
        <v>121</v>
      </c>
      <c r="E336" s="350">
        <v>25000</v>
      </c>
      <c r="F336" s="350"/>
      <c r="G336" s="350"/>
      <c r="H336" s="371">
        <f t="shared" si="8"/>
        <v>10600</v>
      </c>
      <c r="I336" s="349" t="s">
        <v>201</v>
      </c>
      <c r="J336" s="220" t="s">
        <v>1093</v>
      </c>
      <c r="K336" s="340"/>
    </row>
    <row r="337" spans="1:11" ht="15.6">
      <c r="A337" s="335">
        <v>45729</v>
      </c>
      <c r="B337" s="349" t="s">
        <v>539</v>
      </c>
      <c r="C337" s="371" t="s">
        <v>127</v>
      </c>
      <c r="D337" s="349" t="s">
        <v>120</v>
      </c>
      <c r="E337" s="371">
        <v>20000</v>
      </c>
      <c r="F337" s="350"/>
      <c r="G337" s="350"/>
      <c r="H337" s="371">
        <f t="shared" si="8"/>
        <v>30600</v>
      </c>
      <c r="I337" s="349" t="s">
        <v>201</v>
      </c>
      <c r="J337" s="349" t="s">
        <v>1405</v>
      </c>
      <c r="K337" s="340"/>
    </row>
    <row r="338" spans="1:11" ht="15.6">
      <c r="A338" s="219">
        <v>45729</v>
      </c>
      <c r="B338" s="349" t="s">
        <v>644</v>
      </c>
      <c r="C338" s="349" t="s">
        <v>189</v>
      </c>
      <c r="D338" s="349" t="s">
        <v>121</v>
      </c>
      <c r="E338" s="350"/>
      <c r="F338" s="350">
        <v>1740</v>
      </c>
      <c r="G338" s="350"/>
      <c r="H338" s="371">
        <f t="shared" si="8"/>
        <v>28860</v>
      </c>
      <c r="I338" s="349" t="s">
        <v>201</v>
      </c>
      <c r="J338" s="220" t="s">
        <v>1096</v>
      </c>
      <c r="K338" s="340"/>
    </row>
    <row r="339" spans="1:11" ht="15.6">
      <c r="A339" s="219">
        <v>45729</v>
      </c>
      <c r="B339" s="349" t="s">
        <v>644</v>
      </c>
      <c r="C339" s="349" t="s">
        <v>189</v>
      </c>
      <c r="D339" s="349" t="s">
        <v>121</v>
      </c>
      <c r="E339" s="350">
        <v>1740</v>
      </c>
      <c r="F339" s="350"/>
      <c r="G339" s="350"/>
      <c r="H339" s="371">
        <f t="shared" si="8"/>
        <v>30600</v>
      </c>
      <c r="I339" s="349" t="s">
        <v>201</v>
      </c>
      <c r="J339" s="220" t="s">
        <v>1096</v>
      </c>
      <c r="K339" s="340"/>
    </row>
    <row r="340" spans="1:11" ht="15.6">
      <c r="A340" s="335">
        <v>45734</v>
      </c>
      <c r="B340" s="349" t="s">
        <v>539</v>
      </c>
      <c r="C340" s="371" t="s">
        <v>127</v>
      </c>
      <c r="D340" s="349" t="s">
        <v>120</v>
      </c>
      <c r="E340" s="371">
        <v>138000</v>
      </c>
      <c r="F340" s="350"/>
      <c r="G340" s="350"/>
      <c r="H340" s="371">
        <f t="shared" si="8"/>
        <v>168600</v>
      </c>
      <c r="I340" s="349" t="s">
        <v>201</v>
      </c>
      <c r="J340" s="349" t="s">
        <v>1406</v>
      </c>
      <c r="K340" s="340"/>
    </row>
    <row r="341" spans="1:11" ht="15.6">
      <c r="A341" s="335">
        <v>45734</v>
      </c>
      <c r="B341" s="349" t="s">
        <v>1407</v>
      </c>
      <c r="C341" s="349" t="s">
        <v>179</v>
      </c>
      <c r="D341" s="349" t="s">
        <v>540</v>
      </c>
      <c r="E341" s="371"/>
      <c r="F341" s="350">
        <v>7000</v>
      </c>
      <c r="G341" s="350"/>
      <c r="H341" s="371">
        <f t="shared" si="8"/>
        <v>161600</v>
      </c>
      <c r="I341" s="349" t="s">
        <v>201</v>
      </c>
      <c r="J341" s="349" t="s">
        <v>1408</v>
      </c>
      <c r="K341" s="340"/>
    </row>
    <row r="342" spans="1:11" ht="15.6">
      <c r="A342" s="219">
        <v>45734</v>
      </c>
      <c r="B342" s="349" t="s">
        <v>976</v>
      </c>
      <c r="C342" s="349" t="s">
        <v>179</v>
      </c>
      <c r="D342" s="349" t="s">
        <v>120</v>
      </c>
      <c r="E342" s="350"/>
      <c r="F342" s="350">
        <v>21000</v>
      </c>
      <c r="G342" s="350"/>
      <c r="H342" s="371">
        <f t="shared" si="8"/>
        <v>140600</v>
      </c>
      <c r="I342" s="349" t="s">
        <v>201</v>
      </c>
      <c r="J342" s="220" t="s">
        <v>1104</v>
      </c>
      <c r="K342" s="340"/>
    </row>
    <row r="343" spans="1:11" ht="15.6">
      <c r="A343" s="219">
        <v>45734</v>
      </c>
      <c r="B343" s="349" t="s">
        <v>977</v>
      </c>
      <c r="C343" s="349" t="s">
        <v>953</v>
      </c>
      <c r="D343" s="349" t="s">
        <v>120</v>
      </c>
      <c r="E343" s="350"/>
      <c r="F343" s="350">
        <v>75000</v>
      </c>
      <c r="G343" s="350"/>
      <c r="H343" s="371">
        <f t="shared" si="8"/>
        <v>65600</v>
      </c>
      <c r="I343" s="349" t="s">
        <v>201</v>
      </c>
      <c r="J343" s="220" t="s">
        <v>1105</v>
      </c>
      <c r="K343" s="340"/>
    </row>
    <row r="344" spans="1:11" ht="15.6">
      <c r="A344" s="219">
        <v>45734</v>
      </c>
      <c r="B344" s="349" t="s">
        <v>978</v>
      </c>
      <c r="C344" s="349" t="s">
        <v>179</v>
      </c>
      <c r="D344" s="349" t="s">
        <v>120</v>
      </c>
      <c r="E344" s="350"/>
      <c r="F344" s="350">
        <v>21000</v>
      </c>
      <c r="G344" s="350"/>
      <c r="H344" s="371">
        <f t="shared" si="8"/>
        <v>44600</v>
      </c>
      <c r="I344" s="349" t="s">
        <v>201</v>
      </c>
      <c r="J344" s="220" t="s">
        <v>1106</v>
      </c>
      <c r="K344" s="340"/>
    </row>
    <row r="345" spans="1:11" ht="15.6">
      <c r="A345" s="219">
        <v>45734</v>
      </c>
      <c r="B345" s="349" t="s">
        <v>979</v>
      </c>
      <c r="C345" s="349" t="s">
        <v>953</v>
      </c>
      <c r="D345" s="349" t="s">
        <v>120</v>
      </c>
      <c r="E345" s="350"/>
      <c r="F345" s="350">
        <v>50000</v>
      </c>
      <c r="G345" s="350"/>
      <c r="H345" s="371">
        <f t="shared" si="8"/>
        <v>-5400</v>
      </c>
      <c r="I345" s="349" t="s">
        <v>201</v>
      </c>
      <c r="J345" s="220" t="s">
        <v>1107</v>
      </c>
      <c r="K345" s="340"/>
    </row>
    <row r="346" spans="1:11" ht="15.6">
      <c r="A346" s="219">
        <v>45734</v>
      </c>
      <c r="B346" s="349" t="s">
        <v>976</v>
      </c>
      <c r="C346" s="349" t="s">
        <v>179</v>
      </c>
      <c r="D346" s="349" t="s">
        <v>120</v>
      </c>
      <c r="E346" s="350">
        <v>21000</v>
      </c>
      <c r="F346" s="350"/>
      <c r="G346" s="350"/>
      <c r="H346" s="371">
        <f t="shared" si="8"/>
        <v>15600</v>
      </c>
      <c r="I346" s="349" t="s">
        <v>201</v>
      </c>
      <c r="J346" s="220" t="s">
        <v>1104</v>
      </c>
      <c r="K346" s="340"/>
    </row>
    <row r="347" spans="1:11" ht="15.6">
      <c r="A347" s="219">
        <v>45734</v>
      </c>
      <c r="B347" s="349" t="s">
        <v>977</v>
      </c>
      <c r="C347" s="349" t="s">
        <v>953</v>
      </c>
      <c r="D347" s="349" t="s">
        <v>120</v>
      </c>
      <c r="E347" s="350">
        <v>75000</v>
      </c>
      <c r="F347" s="350"/>
      <c r="G347" s="350"/>
      <c r="H347" s="371">
        <f t="shared" si="8"/>
        <v>90600</v>
      </c>
      <c r="I347" s="349" t="s">
        <v>201</v>
      </c>
      <c r="J347" s="220" t="s">
        <v>1105</v>
      </c>
      <c r="K347" s="340"/>
    </row>
    <row r="348" spans="1:11" ht="15.6">
      <c r="A348" s="219">
        <v>45734</v>
      </c>
      <c r="B348" s="349" t="s">
        <v>978</v>
      </c>
      <c r="C348" s="349" t="s">
        <v>179</v>
      </c>
      <c r="D348" s="349" t="s">
        <v>120</v>
      </c>
      <c r="E348" s="350">
        <v>21000</v>
      </c>
      <c r="F348" s="372"/>
      <c r="G348" s="372"/>
      <c r="H348" s="371">
        <f t="shared" si="8"/>
        <v>111600</v>
      </c>
      <c r="I348" s="349" t="s">
        <v>201</v>
      </c>
      <c r="J348" s="220" t="s">
        <v>1106</v>
      </c>
      <c r="K348" s="340"/>
    </row>
    <row r="349" spans="1:11" ht="15.6">
      <c r="A349" s="219">
        <v>45734</v>
      </c>
      <c r="B349" s="349" t="s">
        <v>979</v>
      </c>
      <c r="C349" s="349" t="s">
        <v>953</v>
      </c>
      <c r="D349" s="349" t="s">
        <v>120</v>
      </c>
      <c r="E349" s="350">
        <v>50000</v>
      </c>
      <c r="F349" s="350"/>
      <c r="G349" s="350"/>
      <c r="H349" s="371">
        <f t="shared" si="8"/>
        <v>161600</v>
      </c>
      <c r="I349" s="349" t="s">
        <v>201</v>
      </c>
      <c r="J349" s="220" t="s">
        <v>1107</v>
      </c>
      <c r="K349" s="340"/>
    </row>
    <row r="350" spans="1:11" ht="15.6">
      <c r="A350" s="335">
        <v>45735</v>
      </c>
      <c r="B350" s="349" t="s">
        <v>1409</v>
      </c>
      <c r="C350" s="349" t="s">
        <v>184</v>
      </c>
      <c r="D350" s="349" t="s">
        <v>120</v>
      </c>
      <c r="E350" s="371"/>
      <c r="F350" s="350">
        <v>30000</v>
      </c>
      <c r="G350" s="350"/>
      <c r="H350" s="371">
        <f t="shared" si="8"/>
        <v>131600</v>
      </c>
      <c r="I350" s="349" t="s">
        <v>201</v>
      </c>
      <c r="J350" s="349" t="s">
        <v>1410</v>
      </c>
      <c r="K350" s="340"/>
    </row>
    <row r="351" spans="1:11" ht="15.6">
      <c r="A351" s="335">
        <v>45737</v>
      </c>
      <c r="B351" s="349" t="s">
        <v>861</v>
      </c>
      <c r="C351" s="349" t="s">
        <v>179</v>
      </c>
      <c r="D351" s="349" t="s">
        <v>120</v>
      </c>
      <c r="E351" s="371"/>
      <c r="F351" s="350">
        <v>7000</v>
      </c>
      <c r="G351" s="350"/>
      <c r="H351" s="371">
        <f t="shared" si="8"/>
        <v>124600</v>
      </c>
      <c r="I351" s="349" t="s">
        <v>201</v>
      </c>
      <c r="J351" s="349" t="s">
        <v>1411</v>
      </c>
      <c r="K351" s="340"/>
    </row>
    <row r="352" spans="1:11" ht="15.6">
      <c r="A352" s="335">
        <v>45738</v>
      </c>
      <c r="B352" s="349" t="s">
        <v>1412</v>
      </c>
      <c r="C352" s="349" t="s">
        <v>184</v>
      </c>
      <c r="D352" s="349" t="s">
        <v>120</v>
      </c>
      <c r="E352" s="371"/>
      <c r="F352" s="350">
        <v>45000</v>
      </c>
      <c r="G352" s="350"/>
      <c r="H352" s="371">
        <f t="shared" si="8"/>
        <v>79600</v>
      </c>
      <c r="I352" s="349" t="s">
        <v>201</v>
      </c>
      <c r="J352" s="349" t="s">
        <v>1413</v>
      </c>
      <c r="K352" s="340"/>
    </row>
    <row r="353" spans="1:11" ht="15.6">
      <c r="A353" s="219">
        <v>45740</v>
      </c>
      <c r="B353" s="349" t="s">
        <v>984</v>
      </c>
      <c r="C353" s="349" t="s">
        <v>176</v>
      </c>
      <c r="D353" s="349" t="s">
        <v>121</v>
      </c>
      <c r="E353" s="350"/>
      <c r="F353" s="350">
        <v>101000</v>
      </c>
      <c r="G353" s="350"/>
      <c r="H353" s="371">
        <f t="shared" si="8"/>
        <v>-21400</v>
      </c>
      <c r="I353" s="349" t="s">
        <v>201</v>
      </c>
      <c r="J353" s="220" t="s">
        <v>1112</v>
      </c>
      <c r="K353" s="340"/>
    </row>
    <row r="354" spans="1:11" ht="15.6">
      <c r="A354" s="219">
        <v>45740</v>
      </c>
      <c r="B354" s="349" t="s">
        <v>988</v>
      </c>
      <c r="C354" s="349" t="s">
        <v>953</v>
      </c>
      <c r="D354" s="349" t="s">
        <v>120</v>
      </c>
      <c r="E354" s="350"/>
      <c r="F354" s="372">
        <v>275000</v>
      </c>
      <c r="G354" s="372"/>
      <c r="H354" s="371">
        <f t="shared" si="8"/>
        <v>-296400</v>
      </c>
      <c r="I354" s="349" t="s">
        <v>201</v>
      </c>
      <c r="J354" s="220" t="s">
        <v>1116</v>
      </c>
      <c r="K354" s="340"/>
    </row>
    <row r="355" spans="1:11" ht="15.6">
      <c r="A355" s="219">
        <v>45740</v>
      </c>
      <c r="B355" s="349" t="s">
        <v>984</v>
      </c>
      <c r="C355" s="349" t="s">
        <v>176</v>
      </c>
      <c r="D355" s="349" t="s">
        <v>121</v>
      </c>
      <c r="E355" s="350">
        <v>101000</v>
      </c>
      <c r="F355" s="372"/>
      <c r="G355" s="372"/>
      <c r="H355" s="371">
        <f t="shared" si="8"/>
        <v>-195400</v>
      </c>
      <c r="I355" s="349" t="s">
        <v>201</v>
      </c>
      <c r="J355" s="220" t="s">
        <v>1112</v>
      </c>
      <c r="K355" s="340"/>
    </row>
    <row r="356" spans="1:11" ht="15.6">
      <c r="A356" s="219">
        <v>45740</v>
      </c>
      <c r="B356" s="349" t="s">
        <v>988</v>
      </c>
      <c r="C356" s="349" t="s">
        <v>953</v>
      </c>
      <c r="D356" s="349" t="s">
        <v>120</v>
      </c>
      <c r="E356" s="350">
        <v>275000</v>
      </c>
      <c r="F356" s="372"/>
      <c r="G356" s="372"/>
      <c r="H356" s="371">
        <f t="shared" si="8"/>
        <v>79600</v>
      </c>
      <c r="I356" s="349" t="s">
        <v>201</v>
      </c>
      <c r="J356" s="220" t="s">
        <v>1116</v>
      </c>
      <c r="K356" s="340"/>
    </row>
    <row r="357" spans="1:11" ht="15.6">
      <c r="A357" s="219">
        <v>45741</v>
      </c>
      <c r="B357" s="349" t="s">
        <v>989</v>
      </c>
      <c r="C357" s="349" t="s">
        <v>176</v>
      </c>
      <c r="D357" s="349" t="s">
        <v>121</v>
      </c>
      <c r="E357" s="350"/>
      <c r="F357" s="372">
        <v>25000</v>
      </c>
      <c r="G357" s="372"/>
      <c r="H357" s="371">
        <f t="shared" si="8"/>
        <v>54600</v>
      </c>
      <c r="I357" s="349" t="s">
        <v>201</v>
      </c>
      <c r="J357" s="220" t="s">
        <v>1118</v>
      </c>
      <c r="K357" s="340"/>
    </row>
    <row r="358" spans="1:11" ht="15.6">
      <c r="A358" s="219">
        <v>45741</v>
      </c>
      <c r="B358" s="349" t="s">
        <v>989</v>
      </c>
      <c r="C358" s="349" t="s">
        <v>176</v>
      </c>
      <c r="D358" s="349" t="s">
        <v>121</v>
      </c>
      <c r="E358" s="350">
        <v>25000</v>
      </c>
      <c r="F358" s="350"/>
      <c r="G358" s="350"/>
      <c r="H358" s="371">
        <f t="shared" si="8"/>
        <v>79600</v>
      </c>
      <c r="I358" s="349" t="s">
        <v>201</v>
      </c>
      <c r="J358" s="220" t="s">
        <v>1118</v>
      </c>
      <c r="K358" s="340"/>
    </row>
    <row r="359" spans="1:11" ht="15.6">
      <c r="A359" s="335">
        <v>45747</v>
      </c>
      <c r="B359" s="349" t="s">
        <v>1414</v>
      </c>
      <c r="C359" s="371" t="s">
        <v>179</v>
      </c>
      <c r="D359" s="349" t="s">
        <v>120</v>
      </c>
      <c r="E359" s="371"/>
      <c r="F359" s="372">
        <v>53000</v>
      </c>
      <c r="G359" s="372"/>
      <c r="H359" s="371">
        <f t="shared" si="8"/>
        <v>26600</v>
      </c>
      <c r="I359" s="349" t="s">
        <v>201</v>
      </c>
      <c r="J359" s="349" t="s">
        <v>1415</v>
      </c>
      <c r="K359" s="340"/>
    </row>
    <row r="360" spans="1:11" ht="15.6">
      <c r="A360" s="219">
        <v>45747</v>
      </c>
      <c r="B360" s="349" t="s">
        <v>996</v>
      </c>
      <c r="C360" s="349" t="s">
        <v>189</v>
      </c>
      <c r="D360" s="349" t="s">
        <v>121</v>
      </c>
      <c r="E360" s="350"/>
      <c r="F360" s="350">
        <v>16890</v>
      </c>
      <c r="G360" s="350"/>
      <c r="H360" s="371">
        <f t="shared" si="8"/>
        <v>9710</v>
      </c>
      <c r="I360" s="349" t="s">
        <v>201</v>
      </c>
      <c r="J360" s="220" t="s">
        <v>1124</v>
      </c>
      <c r="K360" s="340"/>
    </row>
    <row r="361" spans="1:11" ht="15.6">
      <c r="A361" s="219">
        <v>45747</v>
      </c>
      <c r="B361" s="349" t="s">
        <v>996</v>
      </c>
      <c r="C361" s="349" t="s">
        <v>189</v>
      </c>
      <c r="D361" s="349" t="s">
        <v>121</v>
      </c>
      <c r="E361" s="350">
        <v>16890</v>
      </c>
      <c r="F361" s="350"/>
      <c r="G361" s="350"/>
      <c r="H361" s="371">
        <f t="shared" si="8"/>
        <v>26600</v>
      </c>
      <c r="I361" s="349" t="s">
        <v>201</v>
      </c>
      <c r="J361" s="220" t="s">
        <v>1124</v>
      </c>
      <c r="K361" s="340"/>
    </row>
    <row r="362" spans="1:11" ht="15.6">
      <c r="A362" s="334"/>
      <c r="B362" s="375"/>
      <c r="C362" s="390"/>
      <c r="D362" s="375"/>
      <c r="E362" s="391">
        <f>SUM(E326:E361)</f>
        <v>849806</v>
      </c>
      <c r="F362" s="391">
        <f>SUM(F326:F361)</f>
        <v>833806</v>
      </c>
      <c r="G362" s="391"/>
      <c r="H362" s="391">
        <f>+E362-F362+H326</f>
        <v>26600</v>
      </c>
      <c r="I362" s="340"/>
      <c r="J362" s="340"/>
      <c r="K362" s="340"/>
    </row>
    <row r="363" spans="1:11" ht="15.6">
      <c r="A363" s="352"/>
      <c r="B363" s="340"/>
      <c r="C363" s="353" t="s">
        <v>865</v>
      </c>
      <c r="D363" s="340"/>
      <c r="E363" s="354"/>
      <c r="F363" s="354"/>
      <c r="G363" s="354"/>
      <c r="H363" s="355"/>
      <c r="I363" s="340"/>
      <c r="J363" s="340"/>
      <c r="K363" s="340"/>
    </row>
    <row r="364" spans="1:11" ht="15.6">
      <c r="A364" s="352"/>
      <c r="B364" s="340"/>
      <c r="C364" s="340"/>
      <c r="D364" s="340"/>
      <c r="E364" s="354"/>
      <c r="F364" s="354"/>
      <c r="G364" s="354"/>
      <c r="H364" s="355"/>
      <c r="I364" s="340"/>
      <c r="J364" s="340"/>
      <c r="K364" s="340"/>
    </row>
    <row r="365" spans="1:11" ht="15.6">
      <c r="A365" s="356" t="s">
        <v>0</v>
      </c>
      <c r="B365" s="357" t="s">
        <v>515</v>
      </c>
      <c r="C365" s="357" t="s">
        <v>516</v>
      </c>
      <c r="D365" s="357" t="s">
        <v>517</v>
      </c>
      <c r="E365" s="358" t="s">
        <v>518</v>
      </c>
      <c r="F365" s="358" t="s">
        <v>519</v>
      </c>
      <c r="G365" s="358"/>
      <c r="H365" s="359" t="s">
        <v>541</v>
      </c>
      <c r="I365" s="357" t="s">
        <v>520</v>
      </c>
      <c r="J365" s="357" t="s">
        <v>521</v>
      </c>
      <c r="K365" s="360"/>
    </row>
    <row r="366" spans="1:11" ht="15.6">
      <c r="A366" s="240">
        <v>45717</v>
      </c>
      <c r="B366" s="333" t="s">
        <v>1229</v>
      </c>
      <c r="C366" s="333"/>
      <c r="D366" s="333"/>
      <c r="E366" s="337"/>
      <c r="F366" s="337"/>
      <c r="G366" s="337"/>
      <c r="H366" s="338">
        <v>8130</v>
      </c>
      <c r="I366" s="333" t="s">
        <v>205</v>
      </c>
      <c r="J366" s="333"/>
      <c r="K366" s="340"/>
    </row>
    <row r="367" spans="1:11" ht="15.6">
      <c r="A367" s="392">
        <v>45732</v>
      </c>
      <c r="B367" s="349" t="s">
        <v>1416</v>
      </c>
      <c r="C367" s="281" t="s">
        <v>127</v>
      </c>
      <c r="D367" s="281" t="s">
        <v>120</v>
      </c>
      <c r="E367" s="371">
        <v>84000</v>
      </c>
      <c r="F367" s="371"/>
      <c r="G367" s="371"/>
      <c r="H367" s="393">
        <f t="shared" ref="H367:H379" si="9">H366+E367-F367</f>
        <v>92130</v>
      </c>
      <c r="I367" s="281" t="s">
        <v>205</v>
      </c>
      <c r="J367" s="349" t="s">
        <v>1417</v>
      </c>
      <c r="K367" s="340"/>
    </row>
    <row r="368" spans="1:11" ht="15.6">
      <c r="A368" s="392">
        <v>45732</v>
      </c>
      <c r="B368" s="349" t="s">
        <v>1418</v>
      </c>
      <c r="C368" s="281" t="s">
        <v>204</v>
      </c>
      <c r="D368" s="281" t="s">
        <v>120</v>
      </c>
      <c r="E368" s="371"/>
      <c r="F368" s="371">
        <v>10000</v>
      </c>
      <c r="G368" s="371"/>
      <c r="H368" s="393">
        <f t="shared" si="9"/>
        <v>82130</v>
      </c>
      <c r="I368" s="281" t="s">
        <v>505</v>
      </c>
      <c r="J368" s="349" t="s">
        <v>1419</v>
      </c>
      <c r="K368" s="340"/>
    </row>
    <row r="369" spans="1:11" ht="15.6">
      <c r="A369" s="392">
        <v>45733</v>
      </c>
      <c r="B369" s="281" t="s">
        <v>1420</v>
      </c>
      <c r="C369" s="281" t="s">
        <v>184</v>
      </c>
      <c r="D369" s="281" t="s">
        <v>120</v>
      </c>
      <c r="E369" s="371"/>
      <c r="F369" s="371">
        <v>190000</v>
      </c>
      <c r="G369" s="371"/>
      <c r="H369" s="393">
        <f t="shared" si="9"/>
        <v>-107870</v>
      </c>
      <c r="I369" s="281" t="s">
        <v>505</v>
      </c>
      <c r="J369" s="349" t="s">
        <v>1421</v>
      </c>
      <c r="K369" s="340"/>
    </row>
    <row r="370" spans="1:11" ht="15.6">
      <c r="A370" s="392">
        <v>45735</v>
      </c>
      <c r="B370" s="349" t="s">
        <v>1416</v>
      </c>
      <c r="C370" s="281" t="s">
        <v>127</v>
      </c>
      <c r="D370" s="281" t="s">
        <v>120</v>
      </c>
      <c r="E370" s="371">
        <v>84000</v>
      </c>
      <c r="F370" s="371"/>
      <c r="G370" s="371"/>
      <c r="H370" s="393">
        <f t="shared" si="9"/>
        <v>-23870</v>
      </c>
      <c r="I370" s="281" t="s">
        <v>505</v>
      </c>
      <c r="J370" s="349" t="s">
        <v>1422</v>
      </c>
      <c r="K370" s="340"/>
    </row>
    <row r="371" spans="1:11" ht="15.6">
      <c r="A371" s="392">
        <v>45737</v>
      </c>
      <c r="B371" s="349" t="s">
        <v>1416</v>
      </c>
      <c r="C371" s="281" t="s">
        <v>127</v>
      </c>
      <c r="D371" s="281" t="s">
        <v>120</v>
      </c>
      <c r="E371" s="371">
        <v>108000</v>
      </c>
      <c r="F371" s="371"/>
      <c r="G371" s="371"/>
      <c r="H371" s="393">
        <f t="shared" si="9"/>
        <v>84130</v>
      </c>
      <c r="I371" s="281" t="s">
        <v>505</v>
      </c>
      <c r="J371" s="349" t="s">
        <v>1423</v>
      </c>
      <c r="K371" s="340"/>
    </row>
    <row r="372" spans="1:11" ht="15.6">
      <c r="A372" s="392">
        <v>45738</v>
      </c>
      <c r="B372" s="349" t="s">
        <v>1424</v>
      </c>
      <c r="C372" s="281" t="s">
        <v>204</v>
      </c>
      <c r="D372" s="281" t="s">
        <v>208</v>
      </c>
      <c r="E372" s="371"/>
      <c r="F372" s="371">
        <v>25000</v>
      </c>
      <c r="G372" s="371"/>
      <c r="H372" s="393">
        <f t="shared" si="9"/>
        <v>59130</v>
      </c>
      <c r="I372" s="281" t="s">
        <v>505</v>
      </c>
      <c r="J372" s="349" t="s">
        <v>1425</v>
      </c>
      <c r="K372" s="340"/>
    </row>
    <row r="373" spans="1:11" ht="15.6">
      <c r="A373" s="392">
        <v>45738</v>
      </c>
      <c r="B373" s="349" t="s">
        <v>273</v>
      </c>
      <c r="C373" s="281" t="s">
        <v>184</v>
      </c>
      <c r="D373" s="281" t="s">
        <v>120</v>
      </c>
      <c r="E373" s="371"/>
      <c r="F373" s="371">
        <v>19200</v>
      </c>
      <c r="G373" s="371"/>
      <c r="H373" s="393">
        <f t="shared" si="9"/>
        <v>39930</v>
      </c>
      <c r="I373" s="281" t="s">
        <v>505</v>
      </c>
      <c r="J373" s="349" t="s">
        <v>1426</v>
      </c>
      <c r="K373" s="340"/>
    </row>
    <row r="374" spans="1:11" ht="15.6">
      <c r="A374" s="392">
        <v>45741</v>
      </c>
      <c r="B374" s="349" t="s">
        <v>1416</v>
      </c>
      <c r="C374" s="281" t="s">
        <v>127</v>
      </c>
      <c r="D374" s="281" t="s">
        <v>120</v>
      </c>
      <c r="E374" s="371">
        <v>112000</v>
      </c>
      <c r="F374" s="371"/>
      <c r="G374" s="371"/>
      <c r="H374" s="393">
        <f t="shared" si="9"/>
        <v>151930</v>
      </c>
      <c r="I374" s="281" t="s">
        <v>505</v>
      </c>
      <c r="J374" s="349" t="s">
        <v>1427</v>
      </c>
      <c r="K374" s="340"/>
    </row>
    <row r="375" spans="1:11" ht="15.6">
      <c r="A375" s="392">
        <v>45743</v>
      </c>
      <c r="B375" s="349" t="s">
        <v>1428</v>
      </c>
      <c r="C375" s="349" t="s">
        <v>1429</v>
      </c>
      <c r="D375" s="281" t="s">
        <v>208</v>
      </c>
      <c r="E375" s="371"/>
      <c r="F375" s="371">
        <v>28400</v>
      </c>
      <c r="G375" s="371"/>
      <c r="H375" s="393">
        <f t="shared" si="9"/>
        <v>123530</v>
      </c>
      <c r="I375" s="281" t="s">
        <v>505</v>
      </c>
      <c r="J375" s="349" t="s">
        <v>1430</v>
      </c>
      <c r="K375" s="340"/>
    </row>
    <row r="376" spans="1:11" ht="15.6">
      <c r="A376" s="392">
        <v>45744</v>
      </c>
      <c r="B376" s="349" t="s">
        <v>1431</v>
      </c>
      <c r="C376" s="281" t="s">
        <v>334</v>
      </c>
      <c r="D376" s="281" t="s">
        <v>120</v>
      </c>
      <c r="E376" s="371"/>
      <c r="F376" s="371">
        <v>4000</v>
      </c>
      <c r="G376" s="371"/>
      <c r="H376" s="393">
        <f t="shared" si="9"/>
        <v>119530</v>
      </c>
      <c r="I376" s="281" t="s">
        <v>505</v>
      </c>
      <c r="J376" s="349" t="s">
        <v>1432</v>
      </c>
      <c r="K376" s="340"/>
    </row>
    <row r="377" spans="1:11" ht="15.6">
      <c r="A377" s="392">
        <v>45744</v>
      </c>
      <c r="B377" s="376" t="s">
        <v>1416</v>
      </c>
      <c r="C377" s="394" t="s">
        <v>127</v>
      </c>
      <c r="D377" s="394" t="s">
        <v>120</v>
      </c>
      <c r="E377" s="395">
        <v>25000</v>
      </c>
      <c r="F377" s="395"/>
      <c r="G377" s="395"/>
      <c r="H377" s="396">
        <f t="shared" si="9"/>
        <v>144530</v>
      </c>
      <c r="I377" s="394" t="s">
        <v>505</v>
      </c>
      <c r="J377" s="349" t="s">
        <v>1433</v>
      </c>
      <c r="K377" s="340"/>
    </row>
    <row r="378" spans="1:11" ht="15.6">
      <c r="A378" s="397">
        <v>45747</v>
      </c>
      <c r="B378" s="349" t="s">
        <v>1434</v>
      </c>
      <c r="C378" s="281" t="s">
        <v>204</v>
      </c>
      <c r="D378" s="281" t="s">
        <v>120</v>
      </c>
      <c r="E378" s="371"/>
      <c r="F378" s="371">
        <v>33000</v>
      </c>
      <c r="G378" s="371"/>
      <c r="H378" s="393">
        <f t="shared" si="9"/>
        <v>111530</v>
      </c>
      <c r="I378" s="281" t="s">
        <v>505</v>
      </c>
      <c r="J378" s="349" t="s">
        <v>1435</v>
      </c>
      <c r="K378" s="340"/>
    </row>
    <row r="379" spans="1:11" ht="15.6">
      <c r="A379" s="397">
        <v>45747</v>
      </c>
      <c r="B379" s="349" t="s">
        <v>1416</v>
      </c>
      <c r="C379" s="281" t="s">
        <v>127</v>
      </c>
      <c r="D379" s="281" t="s">
        <v>120</v>
      </c>
      <c r="E379" s="371">
        <v>189000</v>
      </c>
      <c r="F379" s="371"/>
      <c r="G379" s="371"/>
      <c r="H379" s="393">
        <f t="shared" si="9"/>
        <v>300530</v>
      </c>
      <c r="I379" s="281" t="s">
        <v>505</v>
      </c>
      <c r="J379" s="349" t="s">
        <v>1436</v>
      </c>
      <c r="K379" s="340"/>
    </row>
    <row r="380" spans="1:11" ht="15.6">
      <c r="A380" s="352"/>
      <c r="B380" s="340"/>
      <c r="C380" s="340"/>
      <c r="D380" s="340"/>
      <c r="E380" s="354">
        <f>SUM(E367:E379)</f>
        <v>602000</v>
      </c>
      <c r="F380" s="354">
        <f>SUM(F367:F379)</f>
        <v>309600</v>
      </c>
      <c r="G380" s="354"/>
      <c r="H380" s="355">
        <f>+E380-F380+H366</f>
        <v>300530</v>
      </c>
      <c r="I380" s="340"/>
      <c r="J380" s="340"/>
      <c r="K380" s="340"/>
    </row>
    <row r="381" spans="1:11" ht="15.6">
      <c r="A381" s="352"/>
      <c r="B381" s="340"/>
      <c r="C381" s="353" t="s">
        <v>542</v>
      </c>
      <c r="D381" s="340"/>
      <c r="E381" s="354"/>
      <c r="F381" s="354"/>
      <c r="G381" s="354"/>
      <c r="H381" s="355"/>
      <c r="I381" s="340"/>
      <c r="J381" s="340"/>
      <c r="K381" s="340"/>
    </row>
    <row r="382" spans="1:11" ht="15.6">
      <c r="A382" s="352"/>
      <c r="B382" s="340"/>
      <c r="C382" s="340"/>
      <c r="D382" s="340"/>
      <c r="E382" s="354"/>
      <c r="F382" s="354"/>
      <c r="G382" s="354"/>
      <c r="H382" s="355"/>
      <c r="I382" s="340"/>
      <c r="J382" s="340"/>
      <c r="K382" s="340"/>
    </row>
    <row r="383" spans="1:11" ht="15.6">
      <c r="A383" s="356" t="s">
        <v>0</v>
      </c>
      <c r="B383" s="357" t="s">
        <v>515</v>
      </c>
      <c r="C383" s="357" t="s">
        <v>517</v>
      </c>
      <c r="D383" s="357" t="s">
        <v>516</v>
      </c>
      <c r="E383" s="358" t="s">
        <v>518</v>
      </c>
      <c r="F383" s="358" t="s">
        <v>519</v>
      </c>
      <c r="G383" s="358"/>
      <c r="H383" s="359" t="s">
        <v>30</v>
      </c>
      <c r="I383" s="357" t="s">
        <v>520</v>
      </c>
      <c r="J383" s="357" t="s">
        <v>521</v>
      </c>
      <c r="K383" s="360"/>
    </row>
    <row r="384" spans="1:11" ht="15.6">
      <c r="A384" s="240">
        <v>45717</v>
      </c>
      <c r="B384" s="349" t="s">
        <v>1228</v>
      </c>
      <c r="C384" s="373"/>
      <c r="D384" s="336" t="s">
        <v>127</v>
      </c>
      <c r="E384" s="371"/>
      <c r="F384" s="371"/>
      <c r="G384" s="371"/>
      <c r="H384" s="271">
        <v>5700</v>
      </c>
      <c r="I384" s="349" t="s">
        <v>223</v>
      </c>
      <c r="J384" s="349"/>
      <c r="K384" s="340"/>
    </row>
    <row r="385" spans="1:11" ht="15.6">
      <c r="A385" s="219">
        <v>45720</v>
      </c>
      <c r="B385" s="349" t="s">
        <v>948</v>
      </c>
      <c r="C385" s="398" t="s">
        <v>337</v>
      </c>
      <c r="D385" s="398" t="s">
        <v>123</v>
      </c>
      <c r="E385" s="350">
        <v>148000</v>
      </c>
      <c r="F385" s="350"/>
      <c r="G385" s="350"/>
      <c r="H385" s="271">
        <v>153700</v>
      </c>
      <c r="I385" s="349" t="s">
        <v>223</v>
      </c>
      <c r="J385" s="349" t="s">
        <v>1133</v>
      </c>
      <c r="K385" s="340"/>
    </row>
    <row r="386" spans="1:11" ht="15.6">
      <c r="A386" s="219">
        <v>45720</v>
      </c>
      <c r="B386" s="349" t="s">
        <v>948</v>
      </c>
      <c r="C386" s="398" t="s">
        <v>337</v>
      </c>
      <c r="D386" s="398" t="s">
        <v>123</v>
      </c>
      <c r="E386" s="350"/>
      <c r="F386" s="350">
        <v>148000</v>
      </c>
      <c r="G386" s="350"/>
      <c r="H386" s="271">
        <v>5700</v>
      </c>
      <c r="I386" s="349" t="s">
        <v>223</v>
      </c>
      <c r="J386" s="349" t="s">
        <v>1133</v>
      </c>
      <c r="K386" s="340"/>
    </row>
    <row r="387" spans="1:11" ht="15.6">
      <c r="A387" s="370">
        <v>45721</v>
      </c>
      <c r="B387" s="349" t="s">
        <v>575</v>
      </c>
      <c r="C387" s="336" t="s">
        <v>1271</v>
      </c>
      <c r="D387" s="373" t="s">
        <v>123</v>
      </c>
      <c r="E387" s="371">
        <v>20000</v>
      </c>
      <c r="F387" s="371"/>
      <c r="G387" s="371"/>
      <c r="H387" s="271">
        <v>25700</v>
      </c>
      <c r="I387" s="349" t="s">
        <v>223</v>
      </c>
      <c r="J387" s="349" t="s">
        <v>1437</v>
      </c>
      <c r="K387" s="340"/>
    </row>
    <row r="388" spans="1:11" ht="15.6">
      <c r="A388" s="370">
        <v>45732</v>
      </c>
      <c r="B388" s="349" t="s">
        <v>575</v>
      </c>
      <c r="C388" s="336" t="s">
        <v>1271</v>
      </c>
      <c r="D388" s="373" t="s">
        <v>123</v>
      </c>
      <c r="E388" s="371">
        <v>69000</v>
      </c>
      <c r="F388" s="371"/>
      <c r="G388" s="371"/>
      <c r="H388" s="271">
        <v>94700</v>
      </c>
      <c r="I388" s="349" t="s">
        <v>223</v>
      </c>
      <c r="J388" s="349" t="s">
        <v>1438</v>
      </c>
      <c r="K388" s="340"/>
    </row>
    <row r="389" spans="1:11" ht="15.6">
      <c r="A389" s="370">
        <v>45732</v>
      </c>
      <c r="B389" s="349" t="s">
        <v>1439</v>
      </c>
      <c r="C389" s="336" t="s">
        <v>179</v>
      </c>
      <c r="D389" s="373" t="s">
        <v>208</v>
      </c>
      <c r="E389" s="371"/>
      <c r="F389" s="371">
        <v>10000</v>
      </c>
      <c r="G389" s="371"/>
      <c r="H389" s="271">
        <v>84700</v>
      </c>
      <c r="I389" s="349" t="s">
        <v>223</v>
      </c>
      <c r="J389" s="349" t="s">
        <v>1440</v>
      </c>
      <c r="K389" s="340"/>
    </row>
    <row r="390" spans="1:11" ht="15.6">
      <c r="A390" s="370">
        <v>45733</v>
      </c>
      <c r="B390" s="349" t="s">
        <v>1441</v>
      </c>
      <c r="C390" s="336" t="s">
        <v>184</v>
      </c>
      <c r="D390" s="373" t="s">
        <v>208</v>
      </c>
      <c r="E390" s="371"/>
      <c r="F390" s="371">
        <v>90000</v>
      </c>
      <c r="G390" s="371"/>
      <c r="H390" s="271">
        <v>-5300</v>
      </c>
      <c r="I390" s="349" t="s">
        <v>223</v>
      </c>
      <c r="J390" s="349" t="s">
        <v>1442</v>
      </c>
      <c r="K390" s="340"/>
    </row>
    <row r="391" spans="1:11" ht="15.6">
      <c r="A391" s="370">
        <v>45735</v>
      </c>
      <c r="B391" s="349" t="s">
        <v>575</v>
      </c>
      <c r="C391" s="336" t="s">
        <v>1271</v>
      </c>
      <c r="D391" s="373" t="s">
        <v>123</v>
      </c>
      <c r="E391" s="371">
        <v>69000</v>
      </c>
      <c r="F391" s="371"/>
      <c r="G391" s="371"/>
      <c r="H391" s="271">
        <v>63700</v>
      </c>
      <c r="I391" s="349" t="s">
        <v>223</v>
      </c>
      <c r="J391" s="349" t="s">
        <v>1443</v>
      </c>
      <c r="K391" s="340"/>
    </row>
    <row r="392" spans="1:11" ht="15.6">
      <c r="A392" s="370">
        <v>45737</v>
      </c>
      <c r="B392" s="349" t="s">
        <v>575</v>
      </c>
      <c r="C392" s="336" t="s">
        <v>1271</v>
      </c>
      <c r="D392" s="373" t="s">
        <v>123</v>
      </c>
      <c r="E392" s="371">
        <v>100000</v>
      </c>
      <c r="F392" s="371"/>
      <c r="G392" s="371"/>
      <c r="H392" s="271">
        <v>163700</v>
      </c>
      <c r="I392" s="349" t="s">
        <v>223</v>
      </c>
      <c r="J392" s="349" t="s">
        <v>1444</v>
      </c>
      <c r="K392" s="340"/>
    </row>
    <row r="393" spans="1:11" ht="15.6">
      <c r="A393" s="370">
        <v>45738</v>
      </c>
      <c r="B393" s="349" t="s">
        <v>275</v>
      </c>
      <c r="C393" s="336" t="s">
        <v>184</v>
      </c>
      <c r="D393" s="373" t="s">
        <v>208</v>
      </c>
      <c r="E393" s="371"/>
      <c r="F393" s="371">
        <v>9600</v>
      </c>
      <c r="G393" s="371"/>
      <c r="H393" s="271">
        <v>154100</v>
      </c>
      <c r="I393" s="349" t="s">
        <v>223</v>
      </c>
      <c r="J393" s="349" t="s">
        <v>1445</v>
      </c>
      <c r="K393" s="340"/>
    </row>
    <row r="394" spans="1:11" ht="15.6">
      <c r="A394" s="370">
        <v>45741</v>
      </c>
      <c r="B394" s="349" t="s">
        <v>575</v>
      </c>
      <c r="C394" s="336" t="s">
        <v>1271</v>
      </c>
      <c r="D394" s="373" t="s">
        <v>123</v>
      </c>
      <c r="E394" s="371">
        <v>25000</v>
      </c>
      <c r="F394" s="371"/>
      <c r="G394" s="371"/>
      <c r="H394" s="271">
        <v>179100</v>
      </c>
      <c r="I394" s="349" t="s">
        <v>223</v>
      </c>
      <c r="J394" s="349" t="s">
        <v>1446</v>
      </c>
      <c r="K394" s="340"/>
    </row>
    <row r="395" spans="1:11" ht="15.6">
      <c r="A395" s="370">
        <v>45742</v>
      </c>
      <c r="B395" s="349" t="s">
        <v>1447</v>
      </c>
      <c r="C395" s="336" t="s">
        <v>184</v>
      </c>
      <c r="D395" s="373" t="s">
        <v>208</v>
      </c>
      <c r="E395" s="371"/>
      <c r="F395" s="371">
        <v>135000</v>
      </c>
      <c r="G395" s="371"/>
      <c r="H395" s="271">
        <v>44100</v>
      </c>
      <c r="I395" s="349" t="s">
        <v>223</v>
      </c>
      <c r="J395" s="349" t="s">
        <v>1448</v>
      </c>
      <c r="K395" s="340"/>
    </row>
    <row r="396" spans="1:11" ht="15.6">
      <c r="A396" s="370">
        <v>45742</v>
      </c>
      <c r="B396" s="349" t="s">
        <v>1449</v>
      </c>
      <c r="C396" s="336" t="s">
        <v>179</v>
      </c>
      <c r="D396" s="373" t="s">
        <v>208</v>
      </c>
      <c r="E396" s="371"/>
      <c r="F396" s="371">
        <v>10000</v>
      </c>
      <c r="G396" s="371"/>
      <c r="H396" s="271">
        <v>34100</v>
      </c>
      <c r="I396" s="349" t="s">
        <v>223</v>
      </c>
      <c r="J396" s="349" t="s">
        <v>1450</v>
      </c>
      <c r="K396" s="340"/>
    </row>
    <row r="397" spans="1:11" ht="15.6">
      <c r="A397" s="219">
        <v>45742</v>
      </c>
      <c r="B397" s="349" t="s">
        <v>990</v>
      </c>
      <c r="C397" s="398" t="s">
        <v>337</v>
      </c>
      <c r="D397" s="349" t="s">
        <v>123</v>
      </c>
      <c r="E397" s="350">
        <v>200000</v>
      </c>
      <c r="F397" s="350"/>
      <c r="G397" s="350"/>
      <c r="H397" s="271">
        <v>234100</v>
      </c>
      <c r="I397" s="349" t="s">
        <v>223</v>
      </c>
      <c r="J397" s="349" t="s">
        <v>1138</v>
      </c>
      <c r="K397" s="340"/>
    </row>
    <row r="398" spans="1:11" ht="15.6">
      <c r="A398" s="219">
        <v>45742</v>
      </c>
      <c r="B398" s="349" t="s">
        <v>990</v>
      </c>
      <c r="C398" s="398" t="s">
        <v>337</v>
      </c>
      <c r="D398" s="349" t="s">
        <v>123</v>
      </c>
      <c r="E398" s="350"/>
      <c r="F398" s="350">
        <v>200000</v>
      </c>
      <c r="G398" s="350"/>
      <c r="H398" s="271">
        <v>34100</v>
      </c>
      <c r="I398" s="349" t="s">
        <v>223</v>
      </c>
      <c r="J398" s="349" t="s">
        <v>1138</v>
      </c>
      <c r="K398" s="340"/>
    </row>
    <row r="399" spans="1:11" ht="15.6">
      <c r="A399" s="370">
        <v>45744</v>
      </c>
      <c r="B399" s="349" t="s">
        <v>1451</v>
      </c>
      <c r="C399" s="336" t="s">
        <v>179</v>
      </c>
      <c r="D399" s="373" t="s">
        <v>123</v>
      </c>
      <c r="E399" s="371"/>
      <c r="F399" s="371">
        <v>43650</v>
      </c>
      <c r="G399" s="371"/>
      <c r="H399" s="271">
        <v>-9550</v>
      </c>
      <c r="I399" s="349" t="s">
        <v>223</v>
      </c>
      <c r="J399" s="349" t="s">
        <v>1452</v>
      </c>
      <c r="K399" s="340"/>
    </row>
    <row r="400" spans="1:11" ht="15.6">
      <c r="A400" s="219">
        <v>45744</v>
      </c>
      <c r="B400" s="349" t="s">
        <v>990</v>
      </c>
      <c r="C400" s="349" t="s">
        <v>337</v>
      </c>
      <c r="D400" s="349" t="s">
        <v>123</v>
      </c>
      <c r="E400" s="350">
        <v>154000</v>
      </c>
      <c r="F400" s="350"/>
      <c r="G400" s="350"/>
      <c r="H400" s="271">
        <v>144450</v>
      </c>
      <c r="I400" s="349" t="s">
        <v>223</v>
      </c>
      <c r="J400" s="349" t="s">
        <v>1139</v>
      </c>
      <c r="K400" s="340"/>
    </row>
    <row r="401" spans="1:11" ht="15.6">
      <c r="A401" s="219">
        <v>45744</v>
      </c>
      <c r="B401" s="349" t="s">
        <v>990</v>
      </c>
      <c r="C401" s="349" t="s">
        <v>337</v>
      </c>
      <c r="D401" s="349" t="s">
        <v>123</v>
      </c>
      <c r="E401" s="350"/>
      <c r="F401" s="350">
        <v>154000</v>
      </c>
      <c r="G401" s="350"/>
      <c r="H401" s="271">
        <v>-9550</v>
      </c>
      <c r="I401" s="349" t="s">
        <v>223</v>
      </c>
      <c r="J401" s="349" t="s">
        <v>1139</v>
      </c>
      <c r="K401" s="340"/>
    </row>
    <row r="402" spans="1:11" ht="15.6">
      <c r="A402" s="370">
        <v>45747</v>
      </c>
      <c r="B402" s="349" t="s">
        <v>575</v>
      </c>
      <c r="C402" s="336" t="s">
        <v>1271</v>
      </c>
      <c r="D402" s="373" t="s">
        <v>123</v>
      </c>
      <c r="E402" s="371">
        <v>20000</v>
      </c>
      <c r="F402" s="371"/>
      <c r="G402" s="371"/>
      <c r="H402" s="271">
        <v>10450</v>
      </c>
      <c r="I402" s="349" t="s">
        <v>223</v>
      </c>
      <c r="J402" s="349" t="s">
        <v>1453</v>
      </c>
      <c r="K402" s="340"/>
    </row>
    <row r="403" spans="1:11" ht="15.6">
      <c r="A403" s="352"/>
      <c r="B403" s="340"/>
      <c r="C403" s="340"/>
      <c r="D403" s="340"/>
      <c r="E403" s="366">
        <f>SUM(E384:E402)</f>
        <v>805000</v>
      </c>
      <c r="F403" s="366">
        <f>SUM(F384:F402)</f>
        <v>800250</v>
      </c>
      <c r="G403" s="366"/>
      <c r="H403" s="355">
        <f>+E403-F403+H384</f>
        <v>10450</v>
      </c>
      <c r="I403" s="340"/>
      <c r="J403" s="340"/>
      <c r="K403" s="340"/>
    </row>
    <row r="404" spans="1:11" ht="15.6">
      <c r="A404" s="226"/>
      <c r="B404" s="227"/>
      <c r="C404" s="227"/>
      <c r="D404" s="227"/>
      <c r="E404" s="229"/>
      <c r="F404" s="229"/>
      <c r="G404" s="229"/>
      <c r="H404" s="230"/>
      <c r="I404" s="227"/>
      <c r="J404" s="227"/>
      <c r="K404" s="227"/>
    </row>
    <row r="405" spans="1:11" ht="15.6">
      <c r="A405" s="226"/>
      <c r="B405" s="227"/>
      <c r="C405" s="227"/>
      <c r="D405" s="227"/>
      <c r="E405" s="229"/>
      <c r="F405" s="229"/>
      <c r="G405" s="229"/>
      <c r="H405" s="230"/>
      <c r="I405" s="227"/>
      <c r="J405" s="227"/>
      <c r="K405" s="227"/>
    </row>
  </sheetData>
  <mergeCells count="2">
    <mergeCell ref="A101:D101"/>
    <mergeCell ref="B323:E323"/>
  </mergeCells>
  <dataValidations count="1">
    <dataValidation type="list" allowBlank="1" showInputMessage="1" showErrorMessage="1" sqref="C362 D152 D128" xr:uid="{00000000-0002-0000-0700-000000000000}"/>
  </dataValidations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1000000}">
          <x14:formula1>
            <xm:f>'C:\Users\merve\Desktop\Mars 2025\[Fichier comptable-PARFAITE.xlsx]Feuil1'!#REF!</xm:f>
          </x14:formula1>
          <xm:sqref>C109</xm:sqref>
        </x14:dataValidation>
        <x14:dataValidation type="list" allowBlank="1" showInputMessage="1" showErrorMessage="1" xr:uid="{00000000-0002-0000-0700-000002000000}">
          <x14:formula1>
            <xm:f>'C:\Users\merve\Desktop\Mars 2025\[Fichier comptable-Juriste Abraham.xlsx]Feuil1'!#REF!</xm:f>
          </x14:formula1>
          <xm:sqref>C301:C302 C309:C310 C305:C306 C312:C314</xm:sqref>
        </x14:dataValidation>
        <x14:dataValidation type="list" allowBlank="1" showInputMessage="1" showErrorMessage="1" xr:uid="{00000000-0002-0000-0700-000003000000}">
          <x14:formula1>
            <xm:f>'C:\Users\merve\Desktop\Mars 2025\[Fichier comptable-Juriste Roderlin.xlsx]Feuil1'!#REF!</xm:f>
          </x14:formula1>
          <xm:sqref>C329:C332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Balance</vt:lpstr>
      <vt:lpstr>DATA MARS 2025</vt:lpstr>
      <vt:lpstr>Individual costs</vt:lpstr>
      <vt:lpstr>data ANALYSIS</vt:lpstr>
      <vt:lpstr>Individual received</vt:lpstr>
      <vt:lpstr>Bank journal</vt:lpstr>
      <vt:lpstr>Cash journal</vt:lpstr>
      <vt:lpstr>Bank reconciliation</vt:lpstr>
      <vt:lpstr>Personals balance </vt:lpstr>
      <vt:lpstr>Cash desk closing</vt:lpstr>
      <vt:lpstr>Global data MARS 2025</vt:lpstr>
      <vt:lpstr>Donors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Hajduchová</dc:creator>
  <cp:lastModifiedBy>User</cp:lastModifiedBy>
  <cp:lastPrinted>2025-04-10T21:36:09Z</cp:lastPrinted>
  <dcterms:created xsi:type="dcterms:W3CDTF">2024-11-19T16:31:30Z</dcterms:created>
  <dcterms:modified xsi:type="dcterms:W3CDTF">2025-04-17T17:37:18Z</dcterms:modified>
</cp:coreProperties>
</file>