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Parfaite\"/>
    </mc:Choice>
  </mc:AlternateContent>
  <bookViews>
    <workbookView xWindow="0" yWindow="0" windowWidth="20490" windowHeight="7035" tabRatio="617"/>
  </bookViews>
  <sheets>
    <sheet name="Balance" sheetId="2" r:id="rId1"/>
    <sheet name="DATA Juillet2025" sheetId="1" r:id="rId2"/>
    <sheet name="Personals balance Juillet 2025" sheetId="6" r:id="rId3"/>
    <sheet name="Individual costs" sheetId="10" r:id="rId4"/>
    <sheet name="Individual received" sheetId="19" r:id="rId5"/>
    <sheet name="data ANALYSIS" sheetId="12" r:id="rId6"/>
    <sheet name="Bank journal" sheetId="4" r:id="rId7"/>
    <sheet name="Bank reconciliation" sheetId="5" r:id="rId8"/>
    <sheet name="Cash journal" sheetId="3" r:id="rId9"/>
    <sheet name="Cash desk closing" sheetId="7" r:id="rId10"/>
    <sheet name="Global data Juillet  2025" sheetId="26" r:id="rId11"/>
    <sheet name="Donors table" sheetId="9" r:id="rId12"/>
    <sheet name="phone credit" sheetId="23" r:id="rId13"/>
  </sheets>
  <definedNames>
    <definedName name="_xlnm._FilterDatabase" localSheetId="6" hidden="1">'Bank journal'!$A$1:$J$15</definedName>
    <definedName name="_xlnm._FilterDatabase" localSheetId="7" hidden="1">'Bank reconciliation'!$A$9:$E$53</definedName>
    <definedName name="_xlnm._FilterDatabase" localSheetId="8" hidden="1">'Cash journal'!$A$1:$J$39</definedName>
    <definedName name="_xlnm._FilterDatabase" localSheetId="1" hidden="1">'DATA Juillet2025'!$A$1:$O$210</definedName>
    <definedName name="_xlnm._FilterDatabase" localSheetId="10" hidden="1">'Global data Juillet  2025'!$A$1:$O$1373</definedName>
    <definedName name="_xlnm._FilterDatabase" localSheetId="2" hidden="1">'Personals balance Juillet 2025'!$A$96:$F$157</definedName>
    <definedName name="_xlnm.Print_Area" localSheetId="7">'Bank reconciliation'!$A$1:$E$100</definedName>
  </definedNames>
  <calcPr calcId="191029"/>
  <pivotCaches>
    <pivotCache cacheId="0" r:id="rId14"/>
    <pivotCache cacheId="1" r:id="rId15"/>
    <pivotCache cacheId="2" r:id="rId16"/>
    <pivotCache cacheId="3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373" i="26" l="1"/>
  <c r="F1372" i="26"/>
  <c r="F1371" i="26"/>
  <c r="F1370" i="26"/>
  <c r="F1369" i="26"/>
  <c r="F1368" i="26"/>
  <c r="F1367" i="26"/>
  <c r="F1366" i="26"/>
  <c r="F1365" i="26"/>
  <c r="F1364" i="26"/>
  <c r="F1363" i="26"/>
  <c r="F1362" i="26"/>
  <c r="F1361" i="26"/>
  <c r="F1360" i="26"/>
  <c r="F1359" i="26"/>
  <c r="F1358" i="26"/>
  <c r="F1357" i="26"/>
  <c r="F1356" i="26"/>
  <c r="F1355" i="26"/>
  <c r="F1354" i="26"/>
  <c r="F1353" i="26"/>
  <c r="F1352" i="26"/>
  <c r="F1351" i="26"/>
  <c r="F1350" i="26"/>
  <c r="F1349" i="26"/>
  <c r="F1348" i="26"/>
  <c r="F1347" i="26"/>
  <c r="F1346" i="26"/>
  <c r="F1345" i="26"/>
  <c r="F1344" i="26"/>
  <c r="F1343" i="26"/>
  <c r="F1342" i="26"/>
  <c r="F1341" i="26"/>
  <c r="F1340" i="26"/>
  <c r="F1339" i="26"/>
  <c r="F1338" i="26"/>
  <c r="F1337" i="26"/>
  <c r="F1336" i="26"/>
  <c r="F1335" i="26"/>
  <c r="F1334" i="26"/>
  <c r="F1333" i="26"/>
  <c r="F1332" i="26"/>
  <c r="F1331" i="26"/>
  <c r="F1330" i="26"/>
  <c r="F1329" i="26"/>
  <c r="F1328" i="26"/>
  <c r="F1327" i="26"/>
  <c r="F1326" i="26"/>
  <c r="F1325" i="26"/>
  <c r="F1324" i="26"/>
  <c r="F1323" i="26"/>
  <c r="F1322" i="26"/>
  <c r="F1321" i="26"/>
  <c r="F1320" i="26"/>
  <c r="F1319" i="26"/>
  <c r="F1318" i="26"/>
  <c r="F1317" i="26"/>
  <c r="F1316" i="26"/>
  <c r="F1315" i="26"/>
  <c r="F1314" i="26"/>
  <c r="F1313" i="26"/>
  <c r="F1312" i="26"/>
  <c r="F1311" i="26"/>
  <c r="F1310" i="26"/>
  <c r="F1309" i="26"/>
  <c r="F1308" i="26"/>
  <c r="F1307" i="26"/>
  <c r="F1306" i="26"/>
  <c r="F1305" i="26"/>
  <c r="F1304" i="26"/>
  <c r="F1303" i="26"/>
  <c r="F1302" i="26"/>
  <c r="F1301" i="26"/>
  <c r="F1300" i="26"/>
  <c r="F1299" i="26"/>
  <c r="F1298" i="26"/>
  <c r="F1297" i="26"/>
  <c r="F1296" i="26"/>
  <c r="F1295" i="26"/>
  <c r="F1294" i="26"/>
  <c r="F1293" i="26"/>
  <c r="F1292" i="26"/>
  <c r="F1291" i="26"/>
  <c r="F1290" i="26"/>
  <c r="F1289" i="26"/>
  <c r="F1288" i="26"/>
  <c r="F1287" i="26"/>
  <c r="F1286" i="26"/>
  <c r="F1285" i="26"/>
  <c r="F1284" i="26"/>
  <c r="G1283" i="26"/>
  <c r="F1282" i="26"/>
  <c r="F1281" i="26"/>
  <c r="F1280" i="26"/>
  <c r="F1279" i="26"/>
  <c r="F1278" i="26"/>
  <c r="F1277" i="26"/>
  <c r="F1276" i="26"/>
  <c r="F1275" i="26"/>
  <c r="F1274" i="26"/>
  <c r="F1273" i="26"/>
  <c r="F1272" i="26"/>
  <c r="F1271" i="26"/>
  <c r="F1270" i="26"/>
  <c r="F1269" i="26"/>
  <c r="F1268" i="26"/>
  <c r="F1267" i="26"/>
  <c r="F1266" i="26"/>
  <c r="F1265" i="26"/>
  <c r="F1264" i="26"/>
  <c r="F1263" i="26"/>
  <c r="F1262" i="26"/>
  <c r="F1261" i="26"/>
  <c r="F1260" i="26"/>
  <c r="F1259" i="26"/>
  <c r="F1258" i="26"/>
  <c r="F1257" i="26"/>
  <c r="F1256" i="26"/>
  <c r="F1255" i="26"/>
  <c r="F1254" i="26"/>
  <c r="F1253" i="26"/>
  <c r="F1252" i="26"/>
  <c r="F1251" i="26"/>
  <c r="F1250" i="26"/>
  <c r="F1249" i="26"/>
  <c r="F1248" i="26"/>
  <c r="F1247" i="26"/>
  <c r="F1246" i="26"/>
  <c r="F1245" i="26"/>
  <c r="F1244" i="26"/>
  <c r="F1243" i="26"/>
  <c r="F1242" i="26"/>
  <c r="F1241" i="26"/>
  <c r="F1240" i="26"/>
  <c r="F1239" i="26"/>
  <c r="F1238" i="26"/>
  <c r="F1237" i="26"/>
  <c r="F1236" i="26"/>
  <c r="F1235" i="26"/>
  <c r="F1234" i="26"/>
  <c r="F1233" i="26"/>
  <c r="F1232" i="26"/>
  <c r="F1231" i="26"/>
  <c r="F1230" i="26"/>
  <c r="F1229" i="26"/>
  <c r="F1228" i="26"/>
  <c r="F1227" i="26"/>
  <c r="F1226" i="26"/>
  <c r="F1225" i="26"/>
  <c r="F1224" i="26"/>
  <c r="F1223" i="26"/>
  <c r="F1222" i="26"/>
  <c r="F1221" i="26"/>
  <c r="F1220" i="26"/>
  <c r="F1219" i="26"/>
  <c r="F1218" i="26"/>
  <c r="F1217" i="26"/>
  <c r="F1216" i="26"/>
  <c r="F1215" i="26"/>
  <c r="F1214" i="26"/>
  <c r="F1213" i="26"/>
  <c r="G1212" i="26"/>
  <c r="F1211" i="26"/>
  <c r="F1210" i="26"/>
  <c r="F1209" i="26"/>
  <c r="F1208" i="26"/>
  <c r="F1207" i="26"/>
  <c r="F1206" i="26"/>
  <c r="F1205" i="26"/>
  <c r="F1204" i="26"/>
  <c r="F1203" i="26"/>
  <c r="F1202" i="26"/>
  <c r="F1201" i="26"/>
  <c r="F1200" i="26"/>
  <c r="F1199" i="26"/>
  <c r="F1198" i="26"/>
  <c r="F1197" i="26"/>
  <c r="F1196" i="26"/>
  <c r="F1195" i="26"/>
  <c r="F1194" i="26"/>
  <c r="F1193" i="26"/>
  <c r="F1192" i="26"/>
  <c r="F1191" i="26"/>
  <c r="F1190" i="26"/>
  <c r="F1189" i="26"/>
  <c r="F1188" i="26"/>
  <c r="F1187" i="26"/>
  <c r="F1186" i="26"/>
  <c r="F1185" i="26"/>
  <c r="F1184" i="26"/>
  <c r="F1183" i="26"/>
  <c r="F1182" i="26"/>
  <c r="F1181" i="26"/>
  <c r="F1180" i="26"/>
  <c r="F1179" i="26"/>
  <c r="F1178" i="26"/>
  <c r="F1177" i="26"/>
  <c r="F1176" i="26"/>
  <c r="F1175" i="26"/>
  <c r="F1174" i="26"/>
  <c r="F1173" i="26"/>
  <c r="F1172" i="26"/>
  <c r="F1171" i="26"/>
  <c r="F1170" i="26"/>
  <c r="F1169" i="26"/>
  <c r="F1168" i="26"/>
  <c r="F1167" i="26"/>
  <c r="F1166" i="26"/>
  <c r="F1165" i="26"/>
  <c r="F83" i="1" l="1"/>
  <c r="C12" i="2"/>
  <c r="E2" i="2"/>
  <c r="D19" i="2" l="1"/>
  <c r="C25" i="2" l="1"/>
  <c r="G3" i="3"/>
  <c r="G4" i="3" s="1"/>
  <c r="G5" i="3" s="1"/>
  <c r="G6" i="3" s="1"/>
  <c r="G7" i="3" s="1"/>
  <c r="G8" i="3" s="1"/>
  <c r="G9" i="3" s="1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G35" i="3" s="1"/>
  <c r="G36" i="3" s="1"/>
  <c r="G37" i="3" s="1"/>
  <c r="G38" i="3" s="1"/>
  <c r="G39" i="3" s="1"/>
  <c r="F23" i="7" s="1"/>
  <c r="E3" i="9"/>
  <c r="D56" i="9"/>
  <c r="D36" i="9"/>
  <c r="F32" i="9"/>
  <c r="F21" i="9"/>
  <c r="G5" i="2"/>
  <c r="G36" i="9"/>
  <c r="F23" i="9"/>
  <c r="G56" i="9"/>
  <c r="F20" i="9"/>
  <c r="D32" i="9"/>
  <c r="E32" i="9"/>
  <c r="G22" i="9"/>
  <c r="G16" i="2"/>
  <c r="F57" i="9"/>
  <c r="G21" i="9"/>
  <c r="E20" i="9"/>
  <c r="F33" i="9"/>
  <c r="G13" i="2"/>
  <c r="D20" i="9"/>
  <c r="D25" i="2"/>
  <c r="G33" i="9"/>
  <c r="E56" i="9"/>
  <c r="F36" i="9"/>
  <c r="F56" i="9"/>
  <c r="E25" i="2"/>
  <c r="E59" i="9"/>
  <c r="D21" i="9"/>
  <c r="G2" i="2"/>
  <c r="G58" i="9"/>
  <c r="G59" i="9"/>
  <c r="F3" i="9"/>
  <c r="G12" i="2"/>
  <c r="G9" i="2"/>
  <c r="F22" i="9"/>
  <c r="G32" i="9"/>
  <c r="G11" i="2"/>
  <c r="E36" i="9"/>
  <c r="E21" i="9"/>
  <c r="G3" i="9"/>
  <c r="G20" i="9"/>
  <c r="F59" i="9"/>
  <c r="D59" i="9"/>
  <c r="F58" i="9"/>
  <c r="G14" i="2"/>
  <c r="G10" i="2"/>
  <c r="G15" i="2"/>
  <c r="D3" i="9"/>
  <c r="G23" i="9"/>
  <c r="E3" i="2"/>
  <c r="E16" i="2"/>
  <c r="E14" i="2"/>
  <c r="E15" i="2"/>
  <c r="E12" i="2"/>
  <c r="E13" i="2"/>
  <c r="E5" i="2"/>
  <c r="J36" i="9" l="1"/>
  <c r="H57" i="9"/>
  <c r="H25" i="2"/>
  <c r="D10" i="5"/>
  <c r="D61" i="5" s="1"/>
  <c r="C16" i="2"/>
  <c r="C15" i="2"/>
  <c r="C14" i="2"/>
  <c r="C13" i="2"/>
  <c r="C11" i="2"/>
  <c r="C10" i="2"/>
  <c r="C9" i="2"/>
  <c r="C8" i="2"/>
  <c r="C5" i="2"/>
  <c r="C3" i="2"/>
  <c r="C2" i="2"/>
  <c r="D7" i="23"/>
  <c r="D8" i="23" s="1"/>
  <c r="D9" i="23" s="1"/>
  <c r="D10" i="23" s="1"/>
  <c r="D5" i="23"/>
  <c r="D6" i="23" s="1"/>
  <c r="D2" i="23"/>
  <c r="D3" i="23" s="1"/>
  <c r="D4" i="23" s="1"/>
  <c r="M14" i="2"/>
  <c r="M12" i="2"/>
  <c r="M3" i="2"/>
  <c r="M9" i="2"/>
  <c r="M16" i="2"/>
  <c r="M10" i="2"/>
  <c r="M15" i="2"/>
  <c r="M2" i="2"/>
  <c r="M5" i="2"/>
  <c r="M8" i="2"/>
  <c r="M13" i="2"/>
  <c r="M11" i="2"/>
  <c r="C19" i="2" l="1"/>
  <c r="F35" i="1"/>
  <c r="F36" i="1"/>
  <c r="F42" i="1"/>
  <c r="F43" i="1"/>
  <c r="F88" i="1"/>
  <c r="F128" i="1"/>
  <c r="F129" i="1"/>
  <c r="F130" i="1"/>
  <c r="F131" i="1"/>
  <c r="F142" i="1"/>
  <c r="F143" i="1"/>
  <c r="F6" i="1"/>
  <c r="F7" i="1"/>
  <c r="F8" i="1"/>
  <c r="F11" i="1"/>
  <c r="F12" i="1"/>
  <c r="F39" i="1"/>
  <c r="F44" i="1"/>
  <c r="F45" i="1"/>
  <c r="F46" i="1"/>
  <c r="F47" i="1"/>
  <c r="F68" i="1"/>
  <c r="F69" i="1"/>
  <c r="F70" i="1"/>
  <c r="F80" i="1"/>
  <c r="F81" i="1"/>
  <c r="F82" i="1"/>
  <c r="F110" i="1"/>
  <c r="F111" i="1"/>
  <c r="F112" i="1"/>
  <c r="F113" i="1"/>
  <c r="F114" i="1"/>
  <c r="F132" i="1"/>
  <c r="F133" i="1"/>
  <c r="F134" i="1"/>
  <c r="F135" i="1"/>
  <c r="F144" i="1"/>
  <c r="F145" i="1"/>
  <c r="F146" i="1"/>
  <c r="F147" i="1"/>
  <c r="F148" i="1"/>
  <c r="F149" i="1"/>
  <c r="F150" i="1"/>
  <c r="F151" i="1"/>
  <c r="F167" i="1"/>
  <c r="F168" i="1"/>
  <c r="F169" i="1"/>
  <c r="F170" i="1"/>
  <c r="F183" i="1"/>
  <c r="F184" i="1"/>
  <c r="F185" i="1"/>
  <c r="F186" i="1"/>
  <c r="F197" i="1"/>
  <c r="F198" i="1"/>
  <c r="F199" i="1"/>
  <c r="F204" i="1"/>
  <c r="F205" i="1"/>
  <c r="F97" i="1"/>
  <c r="F98" i="1"/>
  <c r="F99" i="1"/>
  <c r="F100" i="1"/>
  <c r="F101" i="1"/>
  <c r="F102" i="1"/>
  <c r="F103" i="1"/>
  <c r="F187" i="1"/>
  <c r="F206" i="1"/>
  <c r="F13" i="1"/>
  <c r="F14" i="1"/>
  <c r="F15" i="1"/>
  <c r="F16" i="1"/>
  <c r="F31" i="1"/>
  <c r="F104" i="1"/>
  <c r="F105" i="1"/>
  <c r="F106" i="1"/>
  <c r="F107" i="1"/>
  <c r="F207" i="1"/>
  <c r="F208" i="1"/>
  <c r="F209" i="1"/>
  <c r="F115" i="1"/>
  <c r="F116" i="1"/>
  <c r="F117" i="1"/>
  <c r="F118" i="1"/>
  <c r="F123" i="1"/>
  <c r="F124" i="1"/>
  <c r="F125" i="1"/>
  <c r="F136" i="1"/>
  <c r="F137" i="1"/>
  <c r="F138" i="1"/>
  <c r="F139" i="1"/>
  <c r="F152" i="1"/>
  <c r="F153" i="1"/>
  <c r="F154" i="1"/>
  <c r="F171" i="1"/>
  <c r="F172" i="1"/>
  <c r="F119" i="1"/>
  <c r="F173" i="1"/>
  <c r="F174" i="1"/>
  <c r="F175" i="1"/>
  <c r="F176" i="1"/>
  <c r="F177" i="1"/>
  <c r="F188" i="1"/>
  <c r="F189" i="1"/>
  <c r="F190" i="1"/>
  <c r="F191" i="1"/>
  <c r="F192" i="1"/>
  <c r="F193" i="1"/>
  <c r="F194" i="1"/>
  <c r="F178" i="1"/>
  <c r="F179" i="1"/>
  <c r="F210" i="1"/>
  <c r="F17" i="1"/>
  <c r="F18" i="1"/>
  <c r="F19" i="1"/>
  <c r="F48" i="1"/>
  <c r="F50" i="1"/>
  <c r="F51" i="1"/>
  <c r="F52" i="1"/>
  <c r="F53" i="1"/>
  <c r="F54" i="1"/>
  <c r="F55" i="1"/>
  <c r="F56" i="1"/>
  <c r="F57" i="1"/>
  <c r="F58" i="1"/>
  <c r="F59" i="1"/>
  <c r="F60" i="1"/>
  <c r="F61" i="1"/>
  <c r="F64" i="1"/>
  <c r="F71" i="1"/>
  <c r="F72" i="1"/>
  <c r="F73" i="1"/>
  <c r="F74" i="1"/>
  <c r="F75" i="1"/>
  <c r="F76" i="1"/>
  <c r="F77" i="1"/>
  <c r="F155" i="1"/>
  <c r="F156" i="1"/>
  <c r="F157" i="1"/>
  <c r="F158" i="1"/>
  <c r="F159" i="1"/>
  <c r="F160" i="1"/>
  <c r="F161" i="1"/>
  <c r="F162" i="1"/>
  <c r="F180" i="1"/>
  <c r="F200" i="1"/>
  <c r="F201" i="1"/>
  <c r="G49" i="1"/>
  <c r="G120" i="1"/>
  <c r="H3" i="4"/>
  <c r="H4" i="4" s="1"/>
  <c r="H5" i="4" s="1"/>
  <c r="H6" i="4" s="1"/>
  <c r="H7" i="4" s="1"/>
  <c r="H8" i="4" s="1"/>
  <c r="H9" i="4" s="1"/>
  <c r="H10" i="4" s="1"/>
  <c r="H11" i="4" s="1"/>
  <c r="H12" i="4" s="1"/>
  <c r="H13" i="4" s="1"/>
  <c r="H14" i="4" s="1"/>
  <c r="H15" i="4" s="1"/>
  <c r="H16" i="4" s="1"/>
  <c r="H17" i="4" s="1"/>
  <c r="H18" i="4" s="1"/>
  <c r="H19" i="4" s="1"/>
  <c r="H20" i="4" s="1"/>
  <c r="H21" i="4" s="1"/>
  <c r="H22" i="4" s="1"/>
  <c r="H23" i="4" s="1"/>
  <c r="H24" i="4" s="1"/>
  <c r="H25" i="4" s="1"/>
  <c r="H26" i="4" s="1"/>
  <c r="H27" i="4" s="1"/>
  <c r="H28" i="4" s="1"/>
  <c r="H29" i="4" s="1"/>
  <c r="H30" i="4" s="1"/>
  <c r="H31" i="4" s="1"/>
  <c r="H32" i="4" s="1"/>
  <c r="H33" i="4" s="1"/>
  <c r="H34" i="4" s="1"/>
  <c r="H35" i="4" s="1"/>
  <c r="H36" i="4" s="1"/>
  <c r="H37" i="4" s="1"/>
  <c r="H38" i="4" s="1"/>
  <c r="H39" i="4" s="1"/>
  <c r="H40" i="4" s="1"/>
  <c r="H41" i="4" s="1"/>
  <c r="H42" i="4" s="1"/>
  <c r="D13" i="2"/>
  <c r="D14" i="2"/>
  <c r="D12" i="2"/>
  <c r="D11" i="2"/>
  <c r="D10" i="2"/>
  <c r="D15" i="2"/>
  <c r="D2" i="2"/>
  <c r="D16" i="2"/>
  <c r="D8" i="2"/>
  <c r="D9" i="2"/>
  <c r="G19" i="2"/>
  <c r="D5" i="2"/>
  <c r="D3" i="2"/>
  <c r="E19" i="2"/>
  <c r="I19" i="2" l="1"/>
  <c r="H75" i="6"/>
  <c r="H76" i="6" s="1"/>
  <c r="H77" i="6" s="1"/>
  <c r="H78" i="6" s="1"/>
  <c r="H79" i="6" s="1"/>
  <c r="H80" i="6" s="1"/>
  <c r="H81" i="6" s="1"/>
  <c r="H82" i="6" s="1"/>
  <c r="H83" i="6" s="1"/>
  <c r="H84" i="6" s="1"/>
  <c r="H85" i="6" s="1"/>
  <c r="H5" i="6"/>
  <c r="H6" i="6" s="1"/>
  <c r="H7" i="6" s="1"/>
  <c r="H8" i="6" s="1"/>
  <c r="H9" i="6" s="1"/>
  <c r="H10" i="6" s="1"/>
  <c r="H11" i="6" s="1"/>
  <c r="H12" i="6" s="1"/>
  <c r="H13" i="6" s="1"/>
  <c r="H14" i="6" s="1"/>
  <c r="H15" i="6" s="1"/>
  <c r="H16" i="6" s="1"/>
  <c r="H17" i="6" s="1"/>
  <c r="H18" i="6" s="1"/>
  <c r="H19" i="6" s="1"/>
  <c r="H20" i="6" s="1"/>
  <c r="H21" i="6" s="1"/>
  <c r="H22" i="6" s="1"/>
  <c r="H23" i="6" s="1"/>
  <c r="H24" i="6" s="1"/>
  <c r="H25" i="6" s="1"/>
  <c r="H26" i="6" s="1"/>
  <c r="H27" i="6" s="1"/>
  <c r="H28" i="6" s="1"/>
  <c r="H29" i="6" s="1"/>
  <c r="H30" i="6" s="1"/>
  <c r="H31" i="6" s="1"/>
  <c r="H32" i="6" s="1"/>
  <c r="H33" i="6" s="1"/>
  <c r="H34" i="6" s="1"/>
  <c r="H35" i="6" s="1"/>
  <c r="H36" i="6" s="1"/>
  <c r="H37" i="6" s="1"/>
  <c r="H38" i="6" s="1"/>
  <c r="H39" i="6" s="1"/>
  <c r="H40" i="6" s="1"/>
  <c r="H41" i="6" s="1"/>
  <c r="H42" i="6" s="1"/>
  <c r="H43" i="6" s="1"/>
  <c r="H44" i="6" s="1"/>
  <c r="H45" i="6" s="1"/>
  <c r="H46" i="6" s="1"/>
  <c r="H47" i="6" s="1"/>
  <c r="H48" i="6" s="1"/>
  <c r="H49" i="6" s="1"/>
  <c r="H50" i="6" s="1"/>
  <c r="H51" i="6" s="1"/>
  <c r="H52" i="6" s="1"/>
  <c r="H53" i="6" s="1"/>
  <c r="H54" i="6" s="1"/>
  <c r="H55" i="6" s="1"/>
  <c r="H56" i="6" s="1"/>
  <c r="H57" i="6" s="1"/>
  <c r="H58" i="6" s="1"/>
  <c r="H59" i="6" s="1"/>
  <c r="H60" i="6" s="1"/>
  <c r="H61" i="6" s="1"/>
  <c r="H62" i="6" s="1"/>
  <c r="H63" i="6" s="1"/>
  <c r="H64" i="6" s="1"/>
  <c r="H65" i="6" s="1"/>
  <c r="H66" i="6" s="1"/>
  <c r="H67" i="6" s="1"/>
  <c r="H68" i="6" s="1"/>
  <c r="H69" i="6" s="1"/>
  <c r="I59" i="9" l="1"/>
  <c r="H59" i="9"/>
  <c r="I3" i="9"/>
  <c r="I4" i="9" s="1"/>
  <c r="I5" i="9" s="1"/>
  <c r="I6" i="9" s="1"/>
  <c r="I7" i="9" s="1"/>
  <c r="I8" i="9" s="1"/>
  <c r="H3" i="9"/>
  <c r="H4" i="9" s="1"/>
  <c r="H5" i="9" s="1"/>
  <c r="H6" i="9" s="1"/>
  <c r="H7" i="9" s="1"/>
  <c r="H8" i="9" s="1"/>
  <c r="I10" i="9"/>
  <c r="H10" i="9"/>
  <c r="E2" i="9"/>
  <c r="F2" i="9"/>
  <c r="G2" i="9"/>
  <c r="D2" i="9"/>
  <c r="I58" i="9"/>
  <c r="H58" i="9"/>
  <c r="I2" i="9" l="1"/>
  <c r="H2" i="9"/>
  <c r="H56" i="9"/>
  <c r="I56" i="9" l="1"/>
  <c r="J33" i="9"/>
  <c r="G853" i="26"/>
  <c r="G600" i="26"/>
  <c r="F600" i="26" s="1"/>
  <c r="F437" i="26"/>
  <c r="F418" i="26"/>
  <c r="F417" i="26"/>
  <c r="G77" i="26"/>
  <c r="F2" i="1"/>
  <c r="F3" i="1"/>
  <c r="F4" i="1"/>
  <c r="F5" i="1"/>
  <c r="F9" i="1"/>
  <c r="F10" i="1"/>
  <c r="F20" i="1"/>
  <c r="F21" i="1"/>
  <c r="F23" i="1"/>
  <c r="F24" i="1"/>
  <c r="F25" i="1"/>
  <c r="F26" i="1"/>
  <c r="F27" i="1"/>
  <c r="F28" i="1"/>
  <c r="F29" i="1"/>
  <c r="F30" i="1"/>
  <c r="F32" i="1"/>
  <c r="F33" i="1"/>
  <c r="F34" i="1"/>
  <c r="F37" i="1"/>
  <c r="F38" i="1"/>
  <c r="F40" i="1"/>
  <c r="F41" i="1"/>
  <c r="F62" i="1"/>
  <c r="F63" i="1"/>
  <c r="F65" i="1"/>
  <c r="F66" i="1"/>
  <c r="F67" i="1"/>
  <c r="F78" i="1"/>
  <c r="F79" i="1"/>
  <c r="F84" i="1"/>
  <c r="F85" i="1"/>
  <c r="F86" i="1"/>
  <c r="F87" i="1"/>
  <c r="F91" i="1"/>
  <c r="F89" i="1"/>
  <c r="F90" i="1"/>
  <c r="F92" i="1"/>
  <c r="F93" i="1"/>
  <c r="F94" i="1"/>
  <c r="F95" i="1"/>
  <c r="F96" i="1"/>
  <c r="F108" i="1"/>
  <c r="F109" i="1"/>
  <c r="F121" i="1"/>
  <c r="F122" i="1"/>
  <c r="F126" i="1"/>
  <c r="F127" i="1"/>
  <c r="F140" i="1"/>
  <c r="F141" i="1"/>
  <c r="F163" i="1"/>
  <c r="F164" i="1"/>
  <c r="F165" i="1"/>
  <c r="F166" i="1"/>
  <c r="F181" i="1"/>
  <c r="F182" i="1"/>
  <c r="F195" i="1"/>
  <c r="F196" i="1"/>
  <c r="F202" i="1"/>
  <c r="F22" i="1"/>
  <c r="F7" i="7"/>
  <c r="J57" i="9" l="1"/>
  <c r="F42" i="9"/>
  <c r="G42" i="9"/>
  <c r="I25" i="2"/>
  <c r="H256" i="6" l="1"/>
  <c r="H257" i="6" s="1"/>
  <c r="H258" i="6" s="1"/>
  <c r="H259" i="6" s="1"/>
  <c r="H260" i="6" s="1"/>
  <c r="H261" i="6" s="1"/>
  <c r="H262" i="6" s="1"/>
  <c r="H263" i="6" s="1"/>
  <c r="H264" i="6" s="1"/>
  <c r="H265" i="6" s="1"/>
  <c r="H266" i="6" s="1"/>
  <c r="H267" i="6" s="1"/>
  <c r="H268" i="6" s="1"/>
  <c r="H269" i="6" s="1"/>
  <c r="H270" i="6" s="1"/>
  <c r="H271" i="6" s="1"/>
  <c r="H272" i="6" s="1"/>
  <c r="H273" i="6" s="1"/>
  <c r="H274" i="6" s="1"/>
  <c r="I12" i="2" l="1"/>
  <c r="H232" i="6"/>
  <c r="H233" i="6" s="1"/>
  <c r="H234" i="6" s="1"/>
  <c r="H235" i="6" s="1"/>
  <c r="H236" i="6" s="1"/>
  <c r="H237" i="6" s="1"/>
  <c r="H238" i="6" s="1"/>
  <c r="H239" i="6" s="1"/>
  <c r="H240" i="6" s="1"/>
  <c r="H241" i="6" s="1"/>
  <c r="H242" i="6" s="1"/>
  <c r="H243" i="6" s="1"/>
  <c r="H244" i="6" s="1"/>
  <c r="H245" i="6" s="1"/>
  <c r="H246" i="6" s="1"/>
  <c r="H247" i="6" s="1"/>
  <c r="H248" i="6" s="1"/>
  <c r="H249" i="6" s="1"/>
  <c r="H250" i="6" s="1"/>
  <c r="E251" i="6"/>
  <c r="F251" i="6"/>
  <c r="H251" i="6" l="1"/>
  <c r="H210" i="6" l="1"/>
  <c r="H211" i="6" s="1"/>
  <c r="H212" i="6" s="1"/>
  <c r="H213" i="6" s="1"/>
  <c r="H214" i="6" s="1"/>
  <c r="H215" i="6" s="1"/>
  <c r="H216" i="6" s="1"/>
  <c r="H217" i="6" s="1"/>
  <c r="H218" i="6" s="1"/>
  <c r="H219" i="6" s="1"/>
  <c r="H220" i="6" s="1"/>
  <c r="H221" i="6" s="1"/>
  <c r="H222" i="6" s="1"/>
  <c r="H223" i="6" s="1"/>
  <c r="H224" i="6" s="1"/>
  <c r="H225" i="6" s="1"/>
  <c r="H226" i="6" s="1"/>
  <c r="H282" i="6"/>
  <c r="H283" i="6" s="1"/>
  <c r="H284" i="6" s="1"/>
  <c r="H285" i="6" s="1"/>
  <c r="E227" i="6" l="1"/>
  <c r="F227" i="6"/>
  <c r="H227" i="6" l="1"/>
  <c r="H190" i="6"/>
  <c r="H191" i="6" s="1"/>
  <c r="H192" i="6" s="1"/>
  <c r="H193" i="6" s="1"/>
  <c r="H194" i="6" s="1"/>
  <c r="H195" i="6" s="1"/>
  <c r="H196" i="6" s="1"/>
  <c r="H197" i="6" s="1"/>
  <c r="H198" i="6" s="1"/>
  <c r="H199" i="6" s="1"/>
  <c r="H200" i="6" s="1"/>
  <c r="H201" i="6" s="1"/>
  <c r="H202" i="6" s="1"/>
  <c r="H184" i="6" l="1"/>
  <c r="H171" i="6" l="1"/>
  <c r="H163" i="6" l="1"/>
  <c r="H164" i="6" s="1"/>
  <c r="H98" i="6" l="1"/>
  <c r="H99" i="6" s="1"/>
  <c r="H100" i="6" s="1"/>
  <c r="H101" i="6" s="1"/>
  <c r="H102" i="6" s="1"/>
  <c r="H103" i="6" s="1"/>
  <c r="H104" i="6" s="1"/>
  <c r="H105" i="6" s="1"/>
  <c r="H106" i="6" s="1"/>
  <c r="H107" i="6" s="1"/>
  <c r="H108" i="6" s="1"/>
  <c r="H109" i="6" s="1"/>
  <c r="H110" i="6" s="1"/>
  <c r="H111" i="6" s="1"/>
  <c r="H112" i="6" s="1"/>
  <c r="H113" i="6" s="1"/>
  <c r="H114" i="6" s="1"/>
  <c r="H115" i="6" s="1"/>
  <c r="H116" i="6" s="1"/>
  <c r="H117" i="6" s="1"/>
  <c r="H118" i="6" s="1"/>
  <c r="H119" i="6" s="1"/>
  <c r="H120" i="6" s="1"/>
  <c r="H121" i="6" s="1"/>
  <c r="H122" i="6" s="1"/>
  <c r="H123" i="6" s="1"/>
  <c r="H124" i="6" s="1"/>
  <c r="H125" i="6" s="1"/>
  <c r="H126" i="6" s="1"/>
  <c r="H127" i="6" s="1"/>
  <c r="H128" i="6" s="1"/>
  <c r="H129" i="6" s="1"/>
  <c r="H130" i="6" s="1"/>
  <c r="H131" i="6" s="1"/>
  <c r="H132" i="6" s="1"/>
  <c r="H133" i="6" s="1"/>
  <c r="H134" i="6" s="1"/>
  <c r="H135" i="6" s="1"/>
  <c r="H136" i="6" s="1"/>
  <c r="H137" i="6" s="1"/>
  <c r="H138" i="6" s="1"/>
  <c r="H139" i="6" s="1"/>
  <c r="H140" i="6" s="1"/>
  <c r="H141" i="6" s="1"/>
  <c r="H142" i="6" s="1"/>
  <c r="H143" i="6" s="1"/>
  <c r="H144" i="6" s="1"/>
  <c r="H145" i="6" s="1"/>
  <c r="H146" i="6" s="1"/>
  <c r="H147" i="6" s="1"/>
  <c r="H148" i="6" s="1"/>
  <c r="H149" i="6" s="1"/>
  <c r="H150" i="6" s="1"/>
  <c r="H151" i="6" s="1"/>
  <c r="H152" i="6" s="1"/>
  <c r="H153" i="6" s="1"/>
  <c r="H154" i="6" s="1"/>
  <c r="H155" i="6" s="1"/>
  <c r="H156" i="6" s="1"/>
  <c r="C4" i="2" l="1"/>
  <c r="J54" i="9" l="1"/>
  <c r="F185" i="6" l="1"/>
  <c r="E185" i="6"/>
  <c r="H185" i="6" l="1"/>
  <c r="H11" i="2" s="1"/>
  <c r="E286" i="6" l="1"/>
  <c r="D4" i="2" l="1"/>
  <c r="M17" i="2"/>
  <c r="F286" i="6" l="1"/>
  <c r="H286" i="6" s="1"/>
  <c r="H12" i="2" s="1"/>
  <c r="J12" i="2" s="1"/>
  <c r="E165" i="6" l="1"/>
  <c r="F165" i="6"/>
  <c r="H165" i="6" l="1"/>
  <c r="F178" i="6"/>
  <c r="E178" i="6"/>
  <c r="E64" i="5"/>
  <c r="B16" i="9" l="1"/>
  <c r="B60" i="9" s="1"/>
  <c r="I17" i="9"/>
  <c r="I18" i="9" s="1"/>
  <c r="J32" i="9" l="1"/>
  <c r="H17" i="9"/>
  <c r="H18" i="9" s="1"/>
  <c r="H19" i="9" s="1"/>
  <c r="H20" i="9" s="1"/>
  <c r="H21" i="9" s="1"/>
  <c r="H22" i="9" s="1"/>
  <c r="H23" i="9" s="1"/>
  <c r="H24" i="9" s="1"/>
  <c r="H25" i="9" s="1"/>
  <c r="H26" i="9" s="1"/>
  <c r="H27" i="9" s="1"/>
  <c r="H28" i="9" s="1"/>
  <c r="D16" i="9"/>
  <c r="E16" i="9"/>
  <c r="G16" i="9"/>
  <c r="F16" i="9"/>
  <c r="I19" i="9"/>
  <c r="I20" i="9" s="1"/>
  <c r="I21" i="9" s="1"/>
  <c r="I22" i="9" s="1"/>
  <c r="I23" i="9" s="1"/>
  <c r="I24" i="9" s="1"/>
  <c r="I25" i="9" s="1"/>
  <c r="I26" i="9" s="1"/>
  <c r="I27" i="9" s="1"/>
  <c r="I28" i="9" s="1"/>
  <c r="H16" i="9" l="1"/>
  <c r="I16" i="9"/>
  <c r="F275" i="6"/>
  <c r="E275" i="6"/>
  <c r="H275" i="6" l="1"/>
  <c r="H16" i="2" s="1"/>
  <c r="H9" i="2"/>
  <c r="F172" i="6" l="1"/>
  <c r="E172" i="6"/>
  <c r="F157" i="6" l="1"/>
  <c r="E157" i="6"/>
  <c r="H157" i="6" l="1"/>
  <c r="H5" i="2" s="1"/>
  <c r="F70" i="6"/>
  <c r="E70" i="6"/>
  <c r="H70" i="6" s="1"/>
  <c r="J15" i="9" l="1"/>
  <c r="H15" i="2" l="1"/>
  <c r="I30" i="9" l="1"/>
  <c r="E29" i="9"/>
  <c r="D29" i="9"/>
  <c r="H30" i="9" l="1"/>
  <c r="H31" i="9" s="1"/>
  <c r="H32" i="9" s="1"/>
  <c r="H33" i="9" s="1"/>
  <c r="H34" i="9" s="1"/>
  <c r="H35" i="9" s="1"/>
  <c r="H36" i="9" s="1"/>
  <c r="H37" i="9" s="1"/>
  <c r="H38" i="9" s="1"/>
  <c r="H39" i="9" s="1"/>
  <c r="H40" i="9" s="1"/>
  <c r="H41" i="9" s="1"/>
  <c r="G29" i="9"/>
  <c r="I31" i="9"/>
  <c r="I32" i="9" s="1"/>
  <c r="I33" i="9" s="1"/>
  <c r="I34" i="9" s="1"/>
  <c r="I35" i="9" s="1"/>
  <c r="I36" i="9" s="1"/>
  <c r="I37" i="9" s="1"/>
  <c r="I38" i="9" s="1"/>
  <c r="I39" i="9" s="1"/>
  <c r="I40" i="9" s="1"/>
  <c r="I41" i="9" s="1"/>
  <c r="F29" i="9"/>
  <c r="H29" i="9" l="1"/>
  <c r="I29" i="9"/>
  <c r="E86" i="6"/>
  <c r="F86" i="6"/>
  <c r="H86" i="6" l="1"/>
  <c r="H3" i="2" s="1"/>
  <c r="H13" i="2" l="1"/>
  <c r="H55" i="9" l="1"/>
  <c r="C60" i="9"/>
  <c r="E42" i="9"/>
  <c r="D42" i="9"/>
  <c r="E9" i="9"/>
  <c r="D9" i="9"/>
  <c r="D60" i="9" s="1"/>
  <c r="F19" i="7"/>
  <c r="F18" i="7"/>
  <c r="F17" i="7"/>
  <c r="F16" i="7"/>
  <c r="F15" i="7"/>
  <c r="F14" i="7"/>
  <c r="F11" i="7"/>
  <c r="F10" i="7"/>
  <c r="F9" i="7"/>
  <c r="F8" i="7"/>
  <c r="F203" i="6"/>
  <c r="E203" i="6"/>
  <c r="F92" i="6"/>
  <c r="E92" i="6"/>
  <c r="H2" i="2"/>
  <c r="F20" i="2"/>
  <c r="D20" i="2"/>
  <c r="D29" i="2" s="1"/>
  <c r="F17" i="2"/>
  <c r="I13" i="2"/>
  <c r="I7" i="2"/>
  <c r="J7" i="2" s="1"/>
  <c r="I6" i="2"/>
  <c r="J6" i="2" s="1"/>
  <c r="E60" i="9" l="1"/>
  <c r="H172" i="6"/>
  <c r="H10" i="2" s="1"/>
  <c r="F20" i="7"/>
  <c r="F22" i="7" s="1"/>
  <c r="H11" i="9"/>
  <c r="H12" i="9" s="1"/>
  <c r="H13" i="9" s="1"/>
  <c r="H14" i="9" s="1"/>
  <c r="H15" i="9" s="1"/>
  <c r="F9" i="9"/>
  <c r="F60" i="9" s="1"/>
  <c r="G9" i="9"/>
  <c r="G60" i="9" s="1"/>
  <c r="I11" i="9"/>
  <c r="I12" i="9" s="1"/>
  <c r="I13" i="9" s="1"/>
  <c r="I14" i="9" s="1"/>
  <c r="I15" i="9" s="1"/>
  <c r="G17" i="2"/>
  <c r="G20" i="2"/>
  <c r="D17" i="2"/>
  <c r="E20" i="2"/>
  <c r="E17" i="2"/>
  <c r="I9" i="2"/>
  <c r="I16" i="2"/>
  <c r="I10" i="2"/>
  <c r="I14" i="2"/>
  <c r="I3" i="2"/>
  <c r="I8" i="2"/>
  <c r="I11" i="2"/>
  <c r="J11" i="2" s="1"/>
  <c r="I15" i="2"/>
  <c r="J15" i="2" s="1"/>
  <c r="I20" i="2"/>
  <c r="I4" i="2"/>
  <c r="I5" i="2"/>
  <c r="I55" i="9"/>
  <c r="C20" i="2"/>
  <c r="H203" i="6"/>
  <c r="H14" i="2" s="1"/>
  <c r="H92" i="6"/>
  <c r="H4" i="2" s="1"/>
  <c r="J13" i="2"/>
  <c r="C17" i="2"/>
  <c r="I2" i="2"/>
  <c r="I9" i="9" l="1"/>
  <c r="H9" i="9"/>
  <c r="J10" i="2"/>
  <c r="J16" i="2"/>
  <c r="J3" i="2"/>
  <c r="J14" i="2"/>
  <c r="C29" i="2"/>
  <c r="I29" i="2" s="1"/>
  <c r="F24" i="7"/>
  <c r="J25" i="2"/>
  <c r="I42" i="9"/>
  <c r="E23" i="2"/>
  <c r="E29" i="2" s="1"/>
  <c r="J4" i="2"/>
  <c r="J5" i="2"/>
  <c r="I17" i="2"/>
  <c r="J9" i="2"/>
  <c r="J2" i="2"/>
  <c r="I60" i="9" l="1"/>
  <c r="H62" i="9"/>
  <c r="D75" i="5"/>
  <c r="D91" i="5" s="1"/>
  <c r="D94" i="5" l="1"/>
  <c r="H19" i="2"/>
  <c r="J19" i="2" l="1"/>
  <c r="H20" i="2"/>
  <c r="J20" i="2" l="1"/>
  <c r="H178" i="6"/>
  <c r="H8" i="2" s="1"/>
  <c r="J8" i="2" s="1"/>
  <c r="H17" i="2" l="1"/>
  <c r="J17" i="2" s="1"/>
  <c r="H29" i="2" l="1"/>
  <c r="J29" i="2" s="1"/>
  <c r="H42" i="9" l="1"/>
  <c r="H60" i="9" s="1"/>
  <c r="B63" i="9"/>
  <c r="H63" i="9" l="1"/>
  <c r="F203" i="1"/>
</calcChain>
</file>

<file path=xl/comments1.xml><?xml version="1.0" encoding="utf-8"?>
<comments xmlns="http://schemas.openxmlformats.org/spreadsheetml/2006/main">
  <authors>
    <author>tc={A12D1BC1-2A0A-4E82-995E-AE42C351895A}</author>
    <author>tc={B9DA9024-4CA0-46CF-BCB7-17B9FFFC34E0}</author>
    <author>tc={62FAAB4B-6EAF-4972-9E02-C37D118F3FE1}</author>
    <author>tc={CD553CA5-AD13-43FC-A1F7-EF2DE5EF7A94}</author>
    <author>tc={5991BF77-FCF5-4586-9875-1F89E2825A51}</author>
    <author>tc={D10F2EAC-DC88-4867-AF3C-128AC3A279F6}</author>
    <author>tc={E4BF8878-824E-43F9-ABC1-A73CD708EDCD}</author>
    <author>tc={5E3CEF0F-AC62-41D5-A934-AC03EDB0B8D2}</author>
    <author>tc={A6199460-FC62-44E6-AB78-D712E7363C57}</author>
  </authors>
  <commentList>
    <comment ref="C2" authorId="0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D2" authorId="1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„Cash journal“</t>
        </r>
      </text>
    </comment>
    <comment ref="E2" authorId="2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„data“</t>
        </r>
      </text>
    </comment>
    <comment ref="H2" authorId="3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I2" authorId="4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formula</t>
        </r>
      </text>
    </comment>
    <comment ref="C19" authorId="5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I19" authorId="6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C25" authorId="7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  <comment ref="H25" authorId="8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comments2.xml><?xml version="1.0" encoding="utf-8"?>
<comments xmlns="http://schemas.openxmlformats.org/spreadsheetml/2006/main">
  <authors>
    <author>tc={C1DF0F66-A833-40DC-8B4A-5A54471ED649}</author>
    <author>tc={F88D673A-DD35-4DCB-976B-8A96F322437E}</author>
  </authors>
  <commentList>
    <comment ref="C6" authorId="0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Adjust that according to your country</t>
        </r>
      </text>
    </comment>
    <comment ref="F23" authorId="1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sharedStrings.xml><?xml version="1.0" encoding="utf-8"?>
<sst xmlns="http://schemas.openxmlformats.org/spreadsheetml/2006/main" count="14617" uniqueCount="2681">
  <si>
    <t>Date</t>
  </si>
  <si>
    <t>Details</t>
  </si>
  <si>
    <t>Type of expenses</t>
  </si>
  <si>
    <t xml:space="preserve">Department </t>
  </si>
  <si>
    <t>Spent in $</t>
  </si>
  <si>
    <t>Exchange Rate $</t>
  </si>
  <si>
    <t>Receipt</t>
  </si>
  <si>
    <t>Project</t>
  </si>
  <si>
    <t>Donor</t>
  </si>
  <si>
    <t>Country</t>
  </si>
  <si>
    <t>Name</t>
  </si>
  <si>
    <t>Department</t>
  </si>
  <si>
    <t>Received</t>
  </si>
  <si>
    <t>Spent</t>
  </si>
  <si>
    <t>Accounting Balance</t>
  </si>
  <si>
    <t>Cross-checking</t>
  </si>
  <si>
    <t>Transfer In</t>
  </si>
  <si>
    <t>Transfer  out</t>
  </si>
  <si>
    <t>TOTAL STAFF</t>
  </si>
  <si>
    <t>TOTAL Banks</t>
  </si>
  <si>
    <t>control of internal transfers</t>
  </si>
  <si>
    <t xml:space="preserve">Total expenses </t>
  </si>
  <si>
    <t>Cash Box</t>
  </si>
  <si>
    <t>MOVEMENTS</t>
  </si>
  <si>
    <t>EXPENSES</t>
  </si>
  <si>
    <t>ACCOUNTING BALANCE</t>
  </si>
  <si>
    <t>CROSS-CHECKING</t>
  </si>
  <si>
    <t>OVERALL BALANCE</t>
  </si>
  <si>
    <t>BANK 1</t>
  </si>
  <si>
    <t xml:space="preserve">Spent </t>
  </si>
  <si>
    <t>Balance</t>
  </si>
  <si>
    <t>GRANTS RECEIVED</t>
  </si>
  <si>
    <t>EAGLE NETWORK</t>
  </si>
  <si>
    <t xml:space="preserve">PROJECT: </t>
  </si>
  <si>
    <t>MONTH</t>
  </si>
  <si>
    <t xml:space="preserve">Bank reconciliation statments </t>
  </si>
  <si>
    <t>ACCOUNTING</t>
  </si>
  <si>
    <t xml:space="preserve">n° </t>
  </si>
  <si>
    <t>Description</t>
  </si>
  <si>
    <t>Débit</t>
  </si>
  <si>
    <t>Crédit</t>
  </si>
  <si>
    <t>Bank balance</t>
  </si>
  <si>
    <t>Account Balance</t>
  </si>
  <si>
    <t>PROJECT COORDINATOR</t>
  </si>
  <si>
    <t>BANK</t>
  </si>
  <si>
    <t>No</t>
  </si>
  <si>
    <t>Amount</t>
  </si>
  <si>
    <t>Add:</t>
  </si>
  <si>
    <t>Unpresented cheques</t>
  </si>
  <si>
    <t>Direct Debits (Bank Charges)</t>
  </si>
  <si>
    <t>Balance as per the bank statement</t>
  </si>
  <si>
    <t>Difference</t>
  </si>
  <si>
    <t>Reason for the Difference.</t>
  </si>
  <si>
    <t>currency</t>
  </si>
  <si>
    <t>Balance as per the accounting</t>
  </si>
  <si>
    <t>Signature accountant</t>
  </si>
  <si>
    <t>signature coordinator</t>
  </si>
  <si>
    <t xml:space="preserve"> Reconciliation Statement </t>
  </si>
  <si>
    <t>Paper Notes</t>
  </si>
  <si>
    <t>x</t>
  </si>
  <si>
    <t>Coins</t>
  </si>
  <si>
    <t>cash balance</t>
  </si>
  <si>
    <t>account balance</t>
  </si>
  <si>
    <t>difference</t>
  </si>
  <si>
    <t>value</t>
  </si>
  <si>
    <t>number</t>
  </si>
  <si>
    <t>Accountant:</t>
  </si>
  <si>
    <t>Coordinator:</t>
  </si>
  <si>
    <t>Project:</t>
  </si>
  <si>
    <t>Month:</t>
  </si>
  <si>
    <t>Year:</t>
  </si>
  <si>
    <t>Comments</t>
  </si>
  <si>
    <t>comments</t>
  </si>
  <si>
    <t>Balance  in USD</t>
  </si>
  <si>
    <t>exchange rate</t>
  </si>
  <si>
    <t>Opening Balance local currency</t>
  </si>
  <si>
    <t>Opening Balance USD</t>
  </si>
  <si>
    <t>Donated local currency</t>
  </si>
  <si>
    <t>Donated USD</t>
  </si>
  <si>
    <t>Used in local currency</t>
  </si>
  <si>
    <t>Used in USD</t>
  </si>
  <si>
    <t>Balance in local currency</t>
  </si>
  <si>
    <t>January</t>
  </si>
  <si>
    <t>February</t>
  </si>
  <si>
    <t xml:space="preserve">March </t>
  </si>
  <si>
    <t>April</t>
  </si>
  <si>
    <t xml:space="preserve">May </t>
  </si>
  <si>
    <t>June</t>
  </si>
  <si>
    <t xml:space="preserve">July </t>
  </si>
  <si>
    <t xml:space="preserve">August </t>
  </si>
  <si>
    <t xml:space="preserve">September </t>
  </si>
  <si>
    <t xml:space="preserve">October </t>
  </si>
  <si>
    <t xml:space="preserve">November </t>
  </si>
  <si>
    <t xml:space="preserve">December </t>
  </si>
  <si>
    <t>Total</t>
  </si>
  <si>
    <t>Balance in financial report</t>
  </si>
  <si>
    <t>Bank name: BCI</t>
  </si>
  <si>
    <t>Account name:  01100-37107202652-34</t>
  </si>
  <si>
    <t>PALF</t>
  </si>
  <si>
    <t>Reglement loyer du mois de Janvier 2025/3654789</t>
  </si>
  <si>
    <t>Reglement Facture Gardiennage Mois de Janvier 2025/36564792</t>
  </si>
  <si>
    <t>Solde honoraire contrat n°79 Dolisie cas BOUTSANA et Consorts/ Maître BANZOUZI Alain</t>
  </si>
  <si>
    <t>Solde honoraire contrat n°67 Sibiti et Consorts/ Maître Helene</t>
  </si>
  <si>
    <t>RAPATRIEME01100 RAO00010730</t>
  </si>
  <si>
    <t>Paiement salaire du mois de Janvier 2025</t>
  </si>
  <si>
    <t>Paiement salaire du mois de Janvier 2025/Loundou Jean Romain</t>
  </si>
  <si>
    <t>Paiement salaire du mois de Janvier 2025/Crepin IBOUILI IBOUILI</t>
  </si>
  <si>
    <t>Paiement salaire du mois de Janvier 2025/Merveille MAHANGA</t>
  </si>
  <si>
    <t>Paiement salaire du mois de Janvier 2025 et congé/PINDI BINGA Donald-Roméo</t>
  </si>
  <si>
    <t>Paiement salaire du mois de Janvier 2025/BOUNGOU Abraham</t>
  </si>
  <si>
    <t>Paiement salaire du mois de Janvier 2025/FOUMBA Roderlin</t>
  </si>
  <si>
    <t>Paiement salaire du mois de Janvier 2025/Evariste LELOUSSI</t>
  </si>
  <si>
    <t>Frais de virement salaire Janvier 2025</t>
  </si>
  <si>
    <t>Reglement honoraire du mois de Janvier 2025/G12</t>
  </si>
  <si>
    <t>Reglement honoraire du mois de Janvier 2025/T73</t>
  </si>
  <si>
    <t>Reglement honoraire du mois de Janvier 2025/P29</t>
  </si>
  <si>
    <t>Reglement honoraire du mois de Janvier 2025/TIT87</t>
  </si>
  <si>
    <t>Legal</t>
  </si>
  <si>
    <t>Office</t>
  </si>
  <si>
    <t>Management</t>
  </si>
  <si>
    <t>Media</t>
  </si>
  <si>
    <t>Investigation</t>
  </si>
  <si>
    <t>Type de depense</t>
  </si>
  <si>
    <t>Lawyer Fees</t>
  </si>
  <si>
    <t>Versement</t>
  </si>
  <si>
    <t>Grant</t>
  </si>
  <si>
    <t>Rent &amp; Utilities</t>
  </si>
  <si>
    <t>Personnel</t>
  </si>
  <si>
    <t>Bank fees</t>
  </si>
  <si>
    <t>BQ-J-R1</t>
  </si>
  <si>
    <t>BQ-J-R2</t>
  </si>
  <si>
    <t>BQ-J-G1</t>
  </si>
  <si>
    <t>BQ-J-R3</t>
  </si>
  <si>
    <t>BQ-J-R4</t>
  </si>
  <si>
    <t>BQ-J-R5</t>
  </si>
  <si>
    <t>BQ-J-R6</t>
  </si>
  <si>
    <t>BQ-J-R7</t>
  </si>
  <si>
    <t>BQ-J-R8</t>
  </si>
  <si>
    <t>BQ-J-R9</t>
  </si>
  <si>
    <t>BQ-J-R10</t>
  </si>
  <si>
    <t>BQ-J-R11</t>
  </si>
  <si>
    <t>BQ-J-R12</t>
  </si>
  <si>
    <t>BQ-J-R13</t>
  </si>
  <si>
    <t>BQ-J-R14</t>
  </si>
  <si>
    <t>BQ-J-R15</t>
  </si>
  <si>
    <t>BQ-J-R16</t>
  </si>
  <si>
    <t>BQ-J-R17</t>
  </si>
  <si>
    <t>BQ-J-R18</t>
  </si>
  <si>
    <t>BCI</t>
  </si>
  <si>
    <t>Receved in XAF</t>
  </si>
  <si>
    <t>Spent  in XAF</t>
  </si>
  <si>
    <t>Achat credit MTN/Benin pour internet  et communication</t>
  </si>
  <si>
    <t>Telephone</t>
  </si>
  <si>
    <t>DOVI</t>
  </si>
  <si>
    <t>DH-J-R1</t>
  </si>
  <si>
    <t>CONGO</t>
  </si>
  <si>
    <t>Achat credit  teléphonique MTN/PALF/Première partie du mois de Janvier 2025/Office</t>
  </si>
  <si>
    <t>Merveille</t>
  </si>
  <si>
    <t>CA-J-R1</t>
  </si>
  <si>
    <t>Achat credit  teléphonique MTN/PALF/Première partie du mois de Janvier 2025/Legal</t>
  </si>
  <si>
    <t>CA-J-R2</t>
  </si>
  <si>
    <t>Achat credit  teléphonique MTN/PALF/Première partie du mois de Janvier 2025/Investigation</t>
  </si>
  <si>
    <t>CA-J-R3</t>
  </si>
  <si>
    <t>Achat credit  teléphonique MTN/PALF/Première partie du mois de Janvier 2025/Media</t>
  </si>
  <si>
    <t>CA-J-R4</t>
  </si>
  <si>
    <t>Achat credit  teléphonique Airtel/PALF/Première partie du mois de Janvier 2025/Legal</t>
  </si>
  <si>
    <t>CA-J-R5</t>
  </si>
  <si>
    <t>Achat credit  teléphonique Airtel/PALF/Première partie du mois de Janvier 2025/Investigation</t>
  </si>
  <si>
    <t>CA-J-R6</t>
  </si>
  <si>
    <t>Achat credit  teléphonique Airtel/PALF/Première partie du mois de Janvier 2025/Media</t>
  </si>
  <si>
    <t>CA-J-R7</t>
  </si>
  <si>
    <t>Achat eau mineral 10 bidons de 16,5Litres pour le bureau PALF</t>
  </si>
  <si>
    <t>Office Materiels</t>
  </si>
  <si>
    <t>CA-J-R8</t>
  </si>
  <si>
    <t>achat billet: Brazzaville - Owando/T73</t>
  </si>
  <si>
    <t>Transport</t>
  </si>
  <si>
    <t>T73</t>
  </si>
  <si>
    <t>T73-J-R1</t>
  </si>
  <si>
    <t>T73 - CONGO Food Allowance du 07 au 17/01/2025 (10 nuitées) à Owando et Oyo</t>
  </si>
  <si>
    <t>Travel Subsistence</t>
  </si>
  <si>
    <t>T73-J-D1</t>
  </si>
  <si>
    <t>Achat billet d'Avion Retour Cotonou - Brazzaville/DOVI</t>
  </si>
  <si>
    <t>DH-J-R2</t>
  </si>
  <si>
    <t>Frais de transfert d'argent à DOVI</t>
  </si>
  <si>
    <t>Transfert fees</t>
  </si>
  <si>
    <t>CA-J-R9</t>
  </si>
  <si>
    <t>Achat billet brazzaville-owando/P29</t>
  </si>
  <si>
    <t>P29</t>
  </si>
  <si>
    <t>P29-J-R1</t>
  </si>
  <si>
    <t>Achat de Billet Brazzaville-Owando/Romain</t>
  </si>
  <si>
    <t>Romain</t>
  </si>
  <si>
    <t>RM-J-R1</t>
  </si>
  <si>
    <t>Achat billet Brazzaville - Owando/Abraham</t>
  </si>
  <si>
    <t>Abraham</t>
  </si>
  <si>
    <t>AB-J-R1</t>
  </si>
  <si>
    <t>Frais de transfert d'argent à T73</t>
  </si>
  <si>
    <t>Roderlin</t>
  </si>
  <si>
    <t>CA-J-R10</t>
  </si>
  <si>
    <t>Achat billet Brazzaville-Owando/Donald-Roméo</t>
  </si>
  <si>
    <t xml:space="preserve">Transport </t>
  </si>
  <si>
    <t>Donald-Roméo</t>
  </si>
  <si>
    <t>DR-J-R1</t>
  </si>
  <si>
    <t>Billet: Brazzaville-Owando/Crepin</t>
  </si>
  <si>
    <t>Crépin</t>
  </si>
  <si>
    <t>CR-J-R1</t>
  </si>
  <si>
    <t>OAK</t>
  </si>
  <si>
    <t>P29 - CONGO Foodallowance mission du 09 au 17/01/2025 à Owando et Oyo (08 Nuitées)</t>
  </si>
  <si>
    <t>P29-J-D1</t>
  </si>
  <si>
    <t>ROMAIN-CONGO Food Alowance du 09 au 25  janvier à Owando(16 Nuitées)</t>
  </si>
  <si>
    <t>RM-J-D1</t>
  </si>
  <si>
    <t>ABRAHAM - CONGO food allowance du 09 au 17/01/2025 à Owando (08Nuitées)</t>
  </si>
  <si>
    <t>AB-J-D1</t>
  </si>
  <si>
    <t>Frais de transfert d'argent à P29 et Romain</t>
  </si>
  <si>
    <t>CA-J-R11</t>
  </si>
  <si>
    <t>Donald-Roméo - CONGO Food Allowance Mission du  09 au 19/01/2025 à Owando</t>
  </si>
  <si>
    <t>DR-J-D1</t>
  </si>
  <si>
    <t>Achat billet Brazzaville-Owando/Evariste</t>
  </si>
  <si>
    <t>Evariste</t>
  </si>
  <si>
    <t>EV-J-R1</t>
  </si>
  <si>
    <t>CREPIN IBOUILI - CONGO Food-Allowance à Owando du 10 au 25/01/2025/(15 Nuitées)</t>
  </si>
  <si>
    <t>CR-J-D1</t>
  </si>
  <si>
    <t>CA-J-R12</t>
  </si>
  <si>
    <t>Reglement facture d'electricité periode Novembre - Decembre 2024/Bureau PALF</t>
  </si>
  <si>
    <t>CA-J-R13</t>
  </si>
  <si>
    <t>EVARISTE - CONGO Food Allowance du 10 au 17 janvier 2025 mission à Owando (7 nuitées)</t>
  </si>
  <si>
    <t>EV-J-D1</t>
  </si>
  <si>
    <t>CREPIN IBOUILI  - CONGO Frais d'hôtel à Owando du 10 au 13/01/2025 (03 Nuitées)</t>
  </si>
  <si>
    <t>CR-J-R2</t>
  </si>
  <si>
    <t>P29 - CONGO Frais d'hotel du 09 au 13/01/2025 à owando (4 Nuitées)</t>
  </si>
  <si>
    <t>P29-J-R2</t>
  </si>
  <si>
    <t>CA-J-R14</t>
  </si>
  <si>
    <t>Frais de transfert d'argent à Romain,P29 et Donald-Roméo</t>
  </si>
  <si>
    <t>CA-J-R15</t>
  </si>
  <si>
    <t>Raffraichissement et plats avec 03 gendarmes pendant l'attente du top</t>
  </si>
  <si>
    <t>CR-J-R3</t>
  </si>
  <si>
    <t>Achat credit  teléphonique MTN/PALF/Deuxième partie du mois de Janvier 2025/Management</t>
  </si>
  <si>
    <t>CA-J-R17</t>
  </si>
  <si>
    <t>Achat credit  teléphonique MTN/PALF/Deuxième partie du mois de Janvier 2025/Legal</t>
  </si>
  <si>
    <t>CA-J-R18</t>
  </si>
  <si>
    <t>Achat credit  teléphonique MTN/PALF/Deuxième partie du mois de Janvier 2025/Investigation</t>
  </si>
  <si>
    <t>CA-J-R19</t>
  </si>
  <si>
    <t>Achat credit  teléphonique MTN/PALF/Deuxième partie du mois de Janvier 2025/Media</t>
  </si>
  <si>
    <t>CA-J-R20</t>
  </si>
  <si>
    <t>Achat credit  teléphonique Airtel/PALF/Deuxième partie du mois de Janvier 2025/Legal</t>
  </si>
  <si>
    <t>CA-J-R21</t>
  </si>
  <si>
    <t>Achat credit  teléphonique Airtel/PALF/Deuxième partie du mois de Janvier 2025/Investigation</t>
  </si>
  <si>
    <t>CA-J-R22</t>
  </si>
  <si>
    <t>Location véhicule owando-oyo,extraction/après opération</t>
  </si>
  <si>
    <t>P29-J-R3</t>
  </si>
  <si>
    <t>T73- CONGO Frais d'hotel du 07 au 15/01/2025 (08nuitées ) à Owando</t>
  </si>
  <si>
    <t>T73-J-R2</t>
  </si>
  <si>
    <t>Location  1 Taxis pour l'opération (Gendarmerie-Hotel  la Concorde:Aller-Retour)</t>
  </si>
  <si>
    <t>RM-J-R2</t>
  </si>
  <si>
    <t>RM-J-R3</t>
  </si>
  <si>
    <t xml:space="preserve">Rafraichissement en attente opération </t>
  </si>
  <si>
    <t>RM-J-R4</t>
  </si>
  <si>
    <t>ABRAHAM - CONGO frais d'Hôtel (Hôtel Joela) du 09 au 15/01/2025 Owando (06Nuitées)</t>
  </si>
  <si>
    <t>AB-J-R2</t>
  </si>
  <si>
    <t>Rafraîchissement attente op</t>
  </si>
  <si>
    <t>AB-J-R3</t>
  </si>
  <si>
    <t>Achat billet Brazzaville-Dolisie/Rodelin</t>
  </si>
  <si>
    <t>RO-J-R1</t>
  </si>
  <si>
    <t>Frais de mission maitre marie Helène à dolisie du 16 au 18/01/2025</t>
  </si>
  <si>
    <t>Lawyer fees</t>
  </si>
  <si>
    <t>CA-J-R16</t>
  </si>
  <si>
    <t>Achat carburant BJ  pour OP</t>
  </si>
  <si>
    <t>DR-J-R2</t>
  </si>
  <si>
    <t>Raffraichissement OP  à Owando/10  gendarmes et moi</t>
  </si>
  <si>
    <t>DR-J-R3</t>
  </si>
  <si>
    <t>Rafraichissement de mon équipe lors de l'opération</t>
  </si>
  <si>
    <t>EV-J-R2</t>
  </si>
  <si>
    <t>Bonus pour 16 gendarmes ayant participé à l'opération du 15 Janvier 2025 à Owando</t>
  </si>
  <si>
    <t>Bonus</t>
  </si>
  <si>
    <t>CR-J-R4</t>
  </si>
  <si>
    <t>Bonus pour 02 EF ayant participé à l'opération du 15 Janvier 2025 à Owando</t>
  </si>
  <si>
    <t>CR-J-R5</t>
  </si>
  <si>
    <t>Frais de transfert d'argent à Crepin,T73 et Evariste</t>
  </si>
  <si>
    <t>CA-J-R23</t>
  </si>
  <si>
    <t>Achat billet Oyo-Brazzaville(Océan du Nord)/Abraham</t>
  </si>
  <si>
    <t>AB-J-R4</t>
  </si>
  <si>
    <t>RODERLIN-CONGO food allowance du 16 au 18/01/2025 à Dolisie (02 nuitées)</t>
  </si>
  <si>
    <t>RO-J-D1</t>
  </si>
  <si>
    <t>Achat billet Owando-Brazzaville/Evariste</t>
  </si>
  <si>
    <t>EV-J-R3</t>
  </si>
  <si>
    <t>Frais de transfert d'argent à Donald-Roméo et Romain</t>
  </si>
  <si>
    <t>CA-J-R24</t>
  </si>
  <si>
    <t>Frais de mission maitre Alain BANZOUZI du 19 au 22/01/2025 à Owando</t>
  </si>
  <si>
    <t>CA-J-R25</t>
  </si>
  <si>
    <t>P29 - Frais d'hotel du 13 au 17/01/2025  lieu op à owando(pour P29)/04 Nuitées</t>
  </si>
  <si>
    <t>P29-J-R4</t>
  </si>
  <si>
    <t>P29 - Frais d'hotel du 13 au 17/01/2025  lieu op à owando(Pour Crépin)/04 Nuitées</t>
  </si>
  <si>
    <t>P29-J-R5</t>
  </si>
  <si>
    <t>Achat billet oyo-brazzaville/P29</t>
  </si>
  <si>
    <t>P29-J-R6</t>
  </si>
  <si>
    <t>P29 - CONGO Frais d'hotel du 15 au 17/01/2025  à oyo ( 02 Nuitées)</t>
  </si>
  <si>
    <t>P29-J-R7</t>
  </si>
  <si>
    <t>T73 - CONGO Frais d'hotel du 15 au 17/01/2025 (02nuitées ) à Oyo</t>
  </si>
  <si>
    <t>T73-J-R3</t>
  </si>
  <si>
    <t>achat billet : Oyo - Brazzaville /T73</t>
  </si>
  <si>
    <t>T73-J-R4</t>
  </si>
  <si>
    <t>ABRAHAM - CONGO frais d'Hôtel (Hôtel Saint Benoit) du 17 au 17/01/2025 Oyo (02Nuitées)</t>
  </si>
  <si>
    <t>AB-J-R5</t>
  </si>
  <si>
    <t>Cumul frais de Jail visit du mois de Janvier 2025/Roderlin</t>
  </si>
  <si>
    <t>RO-J-D2</t>
  </si>
  <si>
    <t>Achat billet Dolisie -Brazzaville /Roderlin</t>
  </si>
  <si>
    <t>RO-J-R2</t>
  </si>
  <si>
    <t>DR-J-R4</t>
  </si>
  <si>
    <t>EVARISTE - CONGO Frais d'hôtel du 10 au 17 janvier 2025 (7 nuitées) à Owando</t>
  </si>
  <si>
    <t>EV-J-R4</t>
  </si>
  <si>
    <t>RODERLIN-CONGO frais d'hôtel du 16 au 18/01/2025 à DOLISIE (02 nuitées)</t>
  </si>
  <si>
    <t>RO-J-R3</t>
  </si>
  <si>
    <t>DONALD-ROMEO - CONGO Frais d'hôtel du 09 au 19/01/2025 à  Owando (Hôtel  Joella)/ 10 Nuitées</t>
  </si>
  <si>
    <t>DR-J-R5</t>
  </si>
  <si>
    <t>Cumul frais de transport local du mois de Janvier 2025/Donald-Roméo</t>
  </si>
  <si>
    <t>DR-J-D2</t>
  </si>
  <si>
    <t>CA-J-R26</t>
  </si>
  <si>
    <t>Prestation de nettoyage Jardin PALF mois de Janvier 2025</t>
  </si>
  <si>
    <t>Services</t>
  </si>
  <si>
    <t>CA-J-R27</t>
  </si>
  <si>
    <t>achat billet : Brazzaville - dolisie/T73</t>
  </si>
  <si>
    <t>T73-J-R5</t>
  </si>
  <si>
    <t>Achat carte sim pour T73</t>
  </si>
  <si>
    <t>Investigation materials</t>
  </si>
  <si>
    <t>T73-J-R16</t>
  </si>
  <si>
    <t>Impréssion de la procédure de la Gendaremrie</t>
  </si>
  <si>
    <t>RM-J-R5</t>
  </si>
  <si>
    <t>Cumul frais de jail visit du mois de Janvier 2025/Romain</t>
  </si>
  <si>
    <t>Jail visit</t>
  </si>
  <si>
    <t>RM-J-D2</t>
  </si>
  <si>
    <t>Bonus media portant sur l'operation du 15/01/2025</t>
  </si>
  <si>
    <t>CA-J-D1</t>
  </si>
  <si>
    <t>IT87 - CONGO Food Allowance mission du 22 au 30/01/2025 à Mouyondzi, Kolo, Bouansa et Madingou/(08 Nuitées)</t>
  </si>
  <si>
    <t>IT87</t>
  </si>
  <si>
    <t>IT87-J-D1</t>
  </si>
  <si>
    <t>Achat billet Brazzaville - Mouyondzi/ IT87</t>
  </si>
  <si>
    <t>IT87-J-R1</t>
  </si>
  <si>
    <t>Achat billet brazzaville-dolisie/P29</t>
  </si>
  <si>
    <t>P29-J-R8</t>
  </si>
  <si>
    <t>P29 - CONGO Foodallowance mission du 22 au 30/01/2025 à Dolisie,Kimongo,Louvakou et ditadi (08 Nuitées)</t>
  </si>
  <si>
    <t>P29-J-D2</t>
  </si>
  <si>
    <t>T73 - CONGO Food Allowance du 22 au 30/01/2025 (08nuitées) à Dolisie,Kibangou,Mbanda et Passi passi</t>
  </si>
  <si>
    <t>T73-J-D2</t>
  </si>
  <si>
    <t>Achat billet: Brazzaville - dolisie / G12</t>
  </si>
  <si>
    <t>G12</t>
  </si>
  <si>
    <t>G12-J-R1</t>
  </si>
  <si>
    <t>G12 - CONGO Food Allowance du 22  au 30 /01/2025 (08nuitées)</t>
  </si>
  <si>
    <t>G12-J-D1</t>
  </si>
  <si>
    <t>Cumul frais de transport local du mois de Janvier 2025/Abraham</t>
  </si>
  <si>
    <t>AB-J-D2</t>
  </si>
  <si>
    <t xml:space="preserve">Frais de transfert d'argent à Romain </t>
  </si>
  <si>
    <t>CA-J-R28</t>
  </si>
  <si>
    <t>Recharge bouteille de gaz de 12KG/Bureau PALF</t>
  </si>
  <si>
    <t>CA-J-R29</t>
  </si>
  <si>
    <t>Frais de notification contrat Roderlin et Abraham</t>
  </si>
  <si>
    <t>CA-J-R31</t>
  </si>
  <si>
    <t>Frais de transfert d'argent à T73,P29,IT87 et G12</t>
  </si>
  <si>
    <t>CA-J-R30</t>
  </si>
  <si>
    <t>Billet: Owando-Brazzaville/Crepin</t>
  </si>
  <si>
    <t>CR-J-R6</t>
  </si>
  <si>
    <t>Taxi : Mouyondzi - Village Kolo/ vérification de l'animal avec la cible</t>
  </si>
  <si>
    <t>IT87-J-R2</t>
  </si>
  <si>
    <t>Taxi : Village Kolo - Mouyondzi/ Retour de la vérification avec la cible</t>
  </si>
  <si>
    <t>IT87-J-R3</t>
  </si>
  <si>
    <t>P29 - CONGO Frais d'hotel du 22 au 24/01/2025 à Dolisie (02 Nuitées)</t>
  </si>
  <si>
    <t>P29-J-R9</t>
  </si>
  <si>
    <t>Achat billet Dolisie-kimongo/P29</t>
  </si>
  <si>
    <t>P29-J-R10</t>
  </si>
  <si>
    <t>T73 - CONGO Frais d'hotel du 22 au 24/01/2025 (02nuitées ) à Dolisie</t>
  </si>
  <si>
    <t>T73-J-R6</t>
  </si>
  <si>
    <t>Achat billet: dolisie - Mbanda/T73</t>
  </si>
  <si>
    <t>T73-J-R7</t>
  </si>
  <si>
    <t xml:space="preserve"> G12 - CONGO frais d'hotel du 22au 24 /01/2025 à Dolisie ( 2 nuitées)</t>
  </si>
  <si>
    <t>G12-J-R2</t>
  </si>
  <si>
    <t>Achat billet : Dolisie - mossendjo/G12</t>
  </si>
  <si>
    <t>G12-J-R3</t>
  </si>
  <si>
    <t>Achat de Billet Owando-Brazzaville/Romain</t>
  </si>
  <si>
    <t>CREPIN IBOUILI  - CONGO Frais d'hôtel à Owando du 15 au 25/01/2025/10 Nuitées</t>
  </si>
  <si>
    <t>CR-J-R7</t>
  </si>
  <si>
    <t>Cumul frais de transport local du mois de Janvier 2025/Crepin</t>
  </si>
  <si>
    <t>CR-J-D2</t>
  </si>
  <si>
    <t>ROMAIN - CONGO Frais d'hôtel de la mission du 09 au 25/2025 à Owando(16 nuitées)</t>
  </si>
  <si>
    <t>RM-J-R7</t>
  </si>
  <si>
    <t>IT87 - CONGO Frais d'hôtel DZA-MATSAKA du 22 au 26/01/2025 à Mouyondzi (04 nuitées)</t>
  </si>
  <si>
    <t>IT87-J-R4</t>
  </si>
  <si>
    <t>Achat billet Mouyondzi - Bouansa/ IT87</t>
  </si>
  <si>
    <t>IT87-J-R5</t>
  </si>
  <si>
    <t>P29 - CONGO Frais d'hotel du 24 au 26/01/2025 à kimongo ( 02 Nuitées)</t>
  </si>
  <si>
    <t>P29-J-R11</t>
  </si>
  <si>
    <t>Achat billet kimongo-dolisie/P29</t>
  </si>
  <si>
    <t>P29-J-R12</t>
  </si>
  <si>
    <t>Achat billet dolisie-louvakou/P29</t>
  </si>
  <si>
    <t>P29-J-R13</t>
  </si>
  <si>
    <t>T73 - CONGO Frais d'hotel du 24 au 26/01/2025 (02nuitées ) à MBanda</t>
  </si>
  <si>
    <t>T73-J-R8</t>
  </si>
  <si>
    <t>achat billet : MBanda - kibangou/T73</t>
  </si>
  <si>
    <t>T73-J-R9</t>
  </si>
  <si>
    <t>G12 congo frais d'hotel du 24 au 26/01/2025   à mossendjo(2nuitées)</t>
  </si>
  <si>
    <t>G12-J-R4</t>
  </si>
  <si>
    <t>Achat billet :Mossendjo makabana/G12</t>
  </si>
  <si>
    <t>G12-J-R5</t>
  </si>
  <si>
    <t>Prime de fin d'année Donald-Roméo</t>
  </si>
  <si>
    <t>CA-J-D2</t>
  </si>
  <si>
    <t>Cumul frais de trust building du mois de Janvier 2025/IT87</t>
  </si>
  <si>
    <t>Trust Building</t>
  </si>
  <si>
    <t>IT87-J-D2</t>
  </si>
  <si>
    <t>Cumul frais de trust building du mois de Janvier 2025/G12</t>
  </si>
  <si>
    <t>Trust building</t>
  </si>
  <si>
    <t>G12-J-D2</t>
  </si>
  <si>
    <t>Bonus du mois de Janvier 2025/Donald-Roméo</t>
  </si>
  <si>
    <t>CA-J-D3</t>
  </si>
  <si>
    <t>Bonus Opération du 15/01/2025 à Owando</t>
  </si>
  <si>
    <t>CA-J-D4</t>
  </si>
  <si>
    <t>Paiement retraite Coordinateur periode Octobre,Novembre et Decembre 2024</t>
  </si>
  <si>
    <t>CA-J-R33</t>
  </si>
  <si>
    <t>IT87 - CONGO Frais d'hôtel le Point de Repère du 26 au 28/01/2025 à Bouansa (02 Nuitées)</t>
  </si>
  <si>
    <t>IT87-J-R6</t>
  </si>
  <si>
    <t>Achat billet Bouansa - Madingou/ IT87</t>
  </si>
  <si>
    <t>IT87-J-R7</t>
  </si>
  <si>
    <t>P29 - CONGO Frais d'hotel du 26 au 28/01/2025 à louvakou (02 Nuitées)</t>
  </si>
  <si>
    <t>P29-J-R14</t>
  </si>
  <si>
    <t>Achat billet louvakou-ditadi/P29</t>
  </si>
  <si>
    <t>P29-J-R15</t>
  </si>
  <si>
    <t>T73 - CONGO Frais d'hotel du 26 au 28/01/2025 (02nuitées ) à Kibangou</t>
  </si>
  <si>
    <t>T73-J-R10</t>
  </si>
  <si>
    <t>Achat billet : kibangou - Passi Passi/T73</t>
  </si>
  <si>
    <t>T73-J-R11</t>
  </si>
  <si>
    <t>G12 - CONGO frais d'hotel du 26 au 28 /01/2025  à makabana (2nuitées)</t>
  </si>
  <si>
    <t>G12-J-R6</t>
  </si>
  <si>
    <t>Achat du billet makabana  - mila mila/G12</t>
  </si>
  <si>
    <t>G12-J-R7</t>
  </si>
  <si>
    <t>Achat carburant 100litre de Gazoil/Groupe electrogène PALF</t>
  </si>
  <si>
    <t>CA-J-R32</t>
  </si>
  <si>
    <t>Règlement prestation technicienne de surface (mois de Janvier 2025)</t>
  </si>
  <si>
    <t>CA-J-R34</t>
  </si>
  <si>
    <t>P29 - CONGO Frais d'hotel du 28 au 29/01/2025 à Ditadi/ 01 Nuitée</t>
  </si>
  <si>
    <t>P29-J-R16</t>
  </si>
  <si>
    <t>Achat billet ditadi-dolisie/P29</t>
  </si>
  <si>
    <t>P29-J-R17</t>
  </si>
  <si>
    <t>Cumul frais de trust building du mois de Janvier 2025/P29</t>
  </si>
  <si>
    <t>P29-J-D3</t>
  </si>
  <si>
    <t>Achat  billet : Passi Passi pour Dolisie/T73</t>
  </si>
  <si>
    <t>T73-J-R12</t>
  </si>
  <si>
    <t>T73 - CONGO Frais d'hotel du 28 au 29/01/2025 (01nuitée ) à Passi Passi</t>
  </si>
  <si>
    <t>T73-J-R13</t>
  </si>
  <si>
    <t>Cumul frais de trust building du mois de Janvier 2025/T73</t>
  </si>
  <si>
    <t>T73-J-D3</t>
  </si>
  <si>
    <t>G12-CONGO frais d'hotel du 28 au 29 /01/2025 à  mila mila( 1 nuitée)</t>
  </si>
  <si>
    <t>G12-J-R8</t>
  </si>
  <si>
    <t>Achat du billet mila mila -dolisie/G12</t>
  </si>
  <si>
    <t>G12-J-R9</t>
  </si>
  <si>
    <t>G12 - CONGO frais d'hotel du 29 au 30 /01/2025 à  Dolisie( 1 nuitée)</t>
  </si>
  <si>
    <t>G12-J-R10</t>
  </si>
  <si>
    <t>IT87 - CONGO Frais d'hôtel Dzongo Benoit du 28 au 30/01/2025 à Madingou (02 Nuitées)</t>
  </si>
  <si>
    <t>IT87-J-R8</t>
  </si>
  <si>
    <t>Achat billet Madingou - Brazzaville/ IT87</t>
  </si>
  <si>
    <t>IT87-J-R9</t>
  </si>
  <si>
    <t>Cumul frais de transport local du mois de Janvier 2025/IT87</t>
  </si>
  <si>
    <t>IT87-J-D3</t>
  </si>
  <si>
    <t>Achat billet Dolisie-Brazzaville/P29</t>
  </si>
  <si>
    <t>P29-J-R18</t>
  </si>
  <si>
    <t>P29 - CONGO Frais d'hotel du 29 au 30/01/2025 à Dolisie (01 Nuitée)</t>
  </si>
  <si>
    <t>P29-J-R19</t>
  </si>
  <si>
    <t>Cumul frais de transport local du mois de Janvier 2025/P29</t>
  </si>
  <si>
    <t>P29-J-D4</t>
  </si>
  <si>
    <t>T73 - CONGO Frais d'hotel du 29 au 30/01/2025 (01nuitées ) à Dolisie</t>
  </si>
  <si>
    <t>T73-J-R14</t>
  </si>
  <si>
    <t>Achat billet : Dolisie - Brazzaville/ T73</t>
  </si>
  <si>
    <t>T73-J-R15</t>
  </si>
  <si>
    <t>Cumul frais de transport local du mois de Janvier 2025/T73</t>
  </si>
  <si>
    <t>T73-J-D4</t>
  </si>
  <si>
    <t>Achat billet : Dolisie - brazzaville/G12</t>
  </si>
  <si>
    <t>G12-J-R11</t>
  </si>
  <si>
    <t>Cumul frais de transport local du mois Janvier 2025/G12</t>
  </si>
  <si>
    <t>G12-J-D3</t>
  </si>
  <si>
    <t>Cumul frais de transport local du mois de Janvier 2025/Roderlin</t>
  </si>
  <si>
    <t>RO-J-D3</t>
  </si>
  <si>
    <t>Cumul frais de transport local du mois de Janvier 2025/EVARISTE</t>
  </si>
  <si>
    <t>EV-J-D2</t>
  </si>
  <si>
    <t>Bonus media portant sur le bilan des interpellation de 2023 et 2024</t>
  </si>
  <si>
    <t>CA-J-D5</t>
  </si>
  <si>
    <t>Cumul frais de transport local du mois de Janvier 2025/DOVI</t>
  </si>
  <si>
    <t>DH-J-D1</t>
  </si>
  <si>
    <t>Reglement loyer du mois de Janvier 2025/DOVI Coordinateur PALF</t>
  </si>
  <si>
    <t>personnel</t>
  </si>
  <si>
    <t>DH-J-R3</t>
  </si>
  <si>
    <t>Cumul frais de transport local du mois de Janvier 2025/Merveille</t>
  </si>
  <si>
    <t>ME-J-D1</t>
  </si>
  <si>
    <t>Ramassage Ordure/bureau PALF</t>
  </si>
  <si>
    <t>CA-J-R35</t>
  </si>
  <si>
    <t>Reglement facture internet perionde du 01/02 au 28/02/2025 bureau PALF</t>
  </si>
  <si>
    <t xml:space="preserve">Internet </t>
  </si>
  <si>
    <t>CA-J-R36</t>
  </si>
  <si>
    <t>Cumul frais de transport local du mois de Janvier 2025/LOUNDOU Jean Romain</t>
  </si>
  <si>
    <t>RM-J-D3</t>
  </si>
  <si>
    <t>Installation Pack office et activation et installation des pratiques logiques</t>
  </si>
  <si>
    <t>Website and software</t>
  </si>
  <si>
    <t>CA-J-R37</t>
  </si>
  <si>
    <t>Donald-Romeo</t>
  </si>
  <si>
    <t>Donors 2025</t>
  </si>
  <si>
    <t>Rufford</t>
  </si>
  <si>
    <t>Dovi</t>
  </si>
  <si>
    <t>I55S</t>
  </si>
  <si>
    <t>Investigations</t>
  </si>
  <si>
    <t>I73X</t>
  </si>
  <si>
    <t>COMPTA DOVI - Coordinateur</t>
  </si>
  <si>
    <t>Détails dépenses</t>
  </si>
  <si>
    <t>Types dépenses (Personnel, Bonus/ Lawyer Bonus, Travel Expenses, Travel subsistence, Office Materials,Rent &amp; Utilities, Services,Telephone, Internet,Bonus,Trust building, Bank charges,Transfer fees, Jail Visits, Editing Costs,Equipment, Publications, Cour</t>
  </si>
  <si>
    <t>Département (Investigations, Legal, Operations, Media, Management, CCU, EAGLE Family, Policy &amp; External relations)</t>
  </si>
  <si>
    <t>Montant reçu</t>
  </si>
  <si>
    <t>Montant dépensé</t>
  </si>
  <si>
    <t>Nom</t>
  </si>
  <si>
    <t>Reçu</t>
  </si>
  <si>
    <t>COMPTA Crepin - Assistant à la Coordination</t>
  </si>
  <si>
    <t>COMPTA MERVEILLE-Comptable</t>
  </si>
  <si>
    <t xml:space="preserve">COMPTA IT87 (Daniel) - Consultant Enquêteur </t>
  </si>
  <si>
    <t xml:space="preserve">COMPTA P29 (Bourgeois) - Consultant Enquêteur </t>
  </si>
  <si>
    <t xml:space="preserve">COMPTA T73 (Trésor) - Consultant Enquêteur </t>
  </si>
  <si>
    <t>COMPTA G12(&gt;&gt;&gt;&gt;) - Consultante Enquêtrice</t>
  </si>
  <si>
    <t>COMPTA Abraham-Juriste</t>
  </si>
  <si>
    <t>Reçu caisse/Roderlin</t>
  </si>
  <si>
    <t>Balalce</t>
  </si>
  <si>
    <t>COMPTA Evariste - Chargé Media</t>
  </si>
  <si>
    <t>Étiquettes de lignes</t>
  </si>
  <si>
    <t>Total général</t>
  </si>
  <si>
    <t>Somme de Spent  in XAF</t>
  </si>
  <si>
    <t xml:space="preserve">Somme de Spent </t>
  </si>
  <si>
    <t>Somme de Received</t>
  </si>
  <si>
    <t>returned to caisse</t>
  </si>
  <si>
    <t>Receved  $</t>
  </si>
  <si>
    <t>Somme de Spent in $</t>
  </si>
  <si>
    <t>Reglement facture d'hotel Eric ONA du 07 au 14/01/2025/(07 Nuitées)</t>
  </si>
  <si>
    <t>Homéfa DOVI ZENNAWOE</t>
  </si>
  <si>
    <t>Reglement loyer du mois de Décembre 2024/3654776</t>
  </si>
  <si>
    <t>Received in XAF</t>
  </si>
  <si>
    <t>Received in $</t>
  </si>
  <si>
    <t>Reglement Facture Gardiennage Mois de Décembre 2024/3654775</t>
  </si>
  <si>
    <t>Paiement Honoraire Me LOCKO/Mois de Décembre 2024/3654777</t>
  </si>
  <si>
    <t>Achat billet Owando-Brazzaville/Donald-Roméo</t>
  </si>
  <si>
    <t>Achat encre 216A et registre</t>
  </si>
  <si>
    <t>BQ-F-R1</t>
  </si>
  <si>
    <t>BQ-F-R2</t>
  </si>
  <si>
    <t>Solde honoraire contrat n°81 Owando cas Monick/ Maître BANZOUZI Alain/3654800</t>
  </si>
  <si>
    <t>BQ-F-R3</t>
  </si>
  <si>
    <t>Reglement frais d'assurance multi risque/Bureau PALF</t>
  </si>
  <si>
    <t>BQ-F-R4</t>
  </si>
  <si>
    <t>Reglement loyer du mois de Février 2025/3654804</t>
  </si>
  <si>
    <t>Achat billet, Brazzaville-Owando/Evariste</t>
  </si>
  <si>
    <t>EV-F-R1</t>
  </si>
  <si>
    <t>EVARISTE - CONGO Ration du 15 au 28 février 2025, mission d'Owando (13 nuitées)</t>
  </si>
  <si>
    <t>EV-F-D1</t>
  </si>
  <si>
    <t>EV-F-D2</t>
  </si>
  <si>
    <t>EVARISTE - CONGO Frais de l'hôtel du 15 au 25 février 2025 à Owando (10 nuitées)</t>
  </si>
  <si>
    <t>EV-F-R2</t>
  </si>
  <si>
    <t xml:space="preserve">EVARISTE - CONGO Frais de l'hôtel du 25 au 28 février 2025 (3 nuitées) </t>
  </si>
  <si>
    <t>EV-F-R3</t>
  </si>
  <si>
    <t>EV-F-R4</t>
  </si>
  <si>
    <t>Cumul frais de transport local du mois de Février 2025/Evariste</t>
  </si>
  <si>
    <t>EV-F-D3</t>
  </si>
  <si>
    <t>Bonus media portant sur l'audience du 06 Février au TG1 d'Owando</t>
  </si>
  <si>
    <t>CA-F-D1</t>
  </si>
  <si>
    <t>Bonus media portant sur la journée mondiale du Pangolin</t>
  </si>
  <si>
    <t>CA-F-D12</t>
  </si>
  <si>
    <t>Bonus media portant sur l'interpellation de deux présumé trafiquants le 24/02/2025 à Owando</t>
  </si>
  <si>
    <t>CA-F-D13</t>
  </si>
  <si>
    <t>CA-F-R11</t>
  </si>
  <si>
    <t>Achat billet Brazzaville-Owando(Trans bony)/Abraham</t>
  </si>
  <si>
    <t>AB-F-R1</t>
  </si>
  <si>
    <t>Frais de mission maitre Marie Helène NANITELAMION du 12 au 14 Février 2025 à Owando suivi audience</t>
  </si>
  <si>
    <t>CA-F-R13</t>
  </si>
  <si>
    <t>AB-F-D1</t>
  </si>
  <si>
    <t>ABRAHAM - CONGO frais d'Hôtel (Hôtel Case Mbali) du 12 au 15/02/2025 Owando (03Nuitées)</t>
  </si>
  <si>
    <t>AB-F-R2</t>
  </si>
  <si>
    <t>ABRAHAM - CONGO frais d'Hôtel  du 15au 20/02/2025 Owando (05Nuitées)</t>
  </si>
  <si>
    <t>AB-F-R5</t>
  </si>
  <si>
    <t>Rafraîchissement attente OP</t>
  </si>
  <si>
    <t>AB-F-R3</t>
  </si>
  <si>
    <t>Achat médicaments du prévenu Dodo</t>
  </si>
  <si>
    <t>AB-F-R4</t>
  </si>
  <si>
    <t>Cumul frais de jail visits du mois de Février 2025/Abraham</t>
  </si>
  <si>
    <t>AB-F-D2</t>
  </si>
  <si>
    <t>CREPIN - CONGO Ration du 15/02/ au 05/03/2025 à Owando (18 nuitées)</t>
  </si>
  <si>
    <t>CR-F-D1</t>
  </si>
  <si>
    <t>CR-F-R2</t>
  </si>
  <si>
    <t>Plats et raffraichissements</t>
  </si>
  <si>
    <t>CR-F-R3</t>
  </si>
  <si>
    <t>01 bidon d'eau de 10 litres pour les OPJ sous instruction du Coordinateur</t>
  </si>
  <si>
    <t>CR-F-D2</t>
  </si>
  <si>
    <t>Bonus pour 18 Gendarmes ayant participé à l'opération du 24/02/2025  à Owando</t>
  </si>
  <si>
    <t>CR-F-R4</t>
  </si>
  <si>
    <t>Bonus pour 02 EF ayant participé à l'opération du 24/02/2025  à Owando</t>
  </si>
  <si>
    <t>CR-F-R5</t>
  </si>
  <si>
    <t>Cumul frais de transport local du mois de Février 2025/Crepin IBOUILI IBOUILI</t>
  </si>
  <si>
    <t>CR-F-D3</t>
  </si>
  <si>
    <t>CR-F-R1</t>
  </si>
  <si>
    <t>Achat credit  teléphonique MTN/PALF/Première partie du mois de Février 2025/Management</t>
  </si>
  <si>
    <t>CA-F-R1</t>
  </si>
  <si>
    <t>Achat credit  teléphonique MTN/PALF/Première partie du mois de Février 2025/Legal</t>
  </si>
  <si>
    <t>CA-F-R2</t>
  </si>
  <si>
    <t>Achat credit  teléphonique MTN/PALF/Première partie du mois de Février 2025/Investigation</t>
  </si>
  <si>
    <t>CA-F-R3</t>
  </si>
  <si>
    <t>Achat credit  teléphonique MTN/PALF/Première partie du mois de Février 2025/Media</t>
  </si>
  <si>
    <t>CA-F-R4</t>
  </si>
  <si>
    <t>Achat credit  teléphonique Airtel/PALF/Première partie du mois de Février 2025/Legal</t>
  </si>
  <si>
    <t>CA-F-R5</t>
  </si>
  <si>
    <t>Achat credit  teléphonique Airtel/PALF/Première partie du mois de Février 2025/Investigation</t>
  </si>
  <si>
    <t>CA-F-R6</t>
  </si>
  <si>
    <t>Achat credit  teléphonique Airtel/PALF/Première partie du mois de Février 2025/Media</t>
  </si>
  <si>
    <t>CA-F-R7</t>
  </si>
  <si>
    <t>Frais de mission maitre Alain BANZOUZI du 05 au 07 Février 2025 à Owando suivi audience</t>
  </si>
  <si>
    <t>CA-F-R8</t>
  </si>
  <si>
    <t>Achat eau mineral 16 LITRES/Bureau</t>
  </si>
  <si>
    <t>CA-F-R9</t>
  </si>
  <si>
    <t>Achat produit d'entretien lait,sucre,javel,papier toilette,sucre,café/Bureau PALF</t>
  </si>
  <si>
    <t>CA-F-R10</t>
  </si>
  <si>
    <t>Frais de transfert d'argent à G12</t>
  </si>
  <si>
    <t>CA-F-R12</t>
  </si>
  <si>
    <t>Frais de transfert d'argent à P29</t>
  </si>
  <si>
    <t>CA-F-R14</t>
  </si>
  <si>
    <t>Bonus du mois de Janvier 2025/Merveille</t>
  </si>
  <si>
    <t>CA-F-D2</t>
  </si>
  <si>
    <t>Bonus du mois de Janvier 2025/Crepin</t>
  </si>
  <si>
    <t>CA-F-D3</t>
  </si>
  <si>
    <t>Bonus du mois de Janvier 2025/Romain</t>
  </si>
  <si>
    <t>CA-F-D4</t>
  </si>
  <si>
    <t>Bonus du mois de Janvier 2025/Abraham</t>
  </si>
  <si>
    <t>CA-F-D5</t>
  </si>
  <si>
    <t>Bonus du mois de Janvier 2025/Roderlin</t>
  </si>
  <si>
    <t>CA-F-D6</t>
  </si>
  <si>
    <t>Bonus du mois de Janvier 2025/Evariste</t>
  </si>
  <si>
    <t>CA-F-D7</t>
  </si>
  <si>
    <t>Bonus opération du 15/01/2025 à Owando/Crepin</t>
  </si>
  <si>
    <t>CA-F-D8</t>
  </si>
  <si>
    <t>Bonus opération du 15/01/2025 à Owando/Romain</t>
  </si>
  <si>
    <t>CA-F-D9</t>
  </si>
  <si>
    <t>Bonus opération du 15/01/2025 à Owando/Abraham</t>
  </si>
  <si>
    <t>CA-F-D10</t>
  </si>
  <si>
    <t>Bonus opération du 15/01/2025 à Owando/Evariste</t>
  </si>
  <si>
    <t>CA-F-D11</t>
  </si>
  <si>
    <t>CA-F-R15</t>
  </si>
  <si>
    <t>Frais de mission maitre Alain BANZOUZI du 13 au 15 Février 2025 à Sibiti/suivi audience</t>
  </si>
  <si>
    <t>CA-F-R16</t>
  </si>
  <si>
    <t>CA-F-R17</t>
  </si>
  <si>
    <t>CA-F-R18</t>
  </si>
  <si>
    <t>Parfaite</t>
  </si>
  <si>
    <t>Bonus à un informateur en RDC</t>
  </si>
  <si>
    <t>Frais de transfert d'argent à T73,P29 et Abraham</t>
  </si>
  <si>
    <t>CA-F-R19</t>
  </si>
  <si>
    <t>Achat credit  teléphonique MTN/PALF/Deuxième partie du mois de Février 2025/Management</t>
  </si>
  <si>
    <t>CA-F-R20</t>
  </si>
  <si>
    <t>Achat credit  teléphonique MTN/PALF/Deuxième partie du mois de Février 2025/Legal</t>
  </si>
  <si>
    <t>CA-F-R21</t>
  </si>
  <si>
    <t>Achat credit  teléphonique MTN/PALF/Deuxième partie du mois de Février 2025/Investigation</t>
  </si>
  <si>
    <t>CA-F-R22</t>
  </si>
  <si>
    <t>Achat credit  teléphonique MTN/PALF/Deuxième partie du mois de Février 2025/Media</t>
  </si>
  <si>
    <t>CA-F-R23</t>
  </si>
  <si>
    <t>CA-F-R24</t>
  </si>
  <si>
    <t>Achat credit  teléphonique Airtel/PALF/Deuxième partie du mois de Février 2025/Legal</t>
  </si>
  <si>
    <t>CA-F-R25</t>
  </si>
  <si>
    <t>Achat credit téléphonique pour P29/Appel trust à l'international</t>
  </si>
  <si>
    <t>CA-F-R26</t>
  </si>
  <si>
    <t>Frais de transfert d'argent à Crepin</t>
  </si>
  <si>
    <t>CA-F-R27</t>
  </si>
  <si>
    <t>Frais de mission maitre BANZOUZI à Owando du 19 au 21/02/205 suivi audience cas MONICK</t>
  </si>
  <si>
    <t>CA-F-R28</t>
  </si>
  <si>
    <t>CA-F-R29</t>
  </si>
  <si>
    <t>Frais de transfert bonus à informateur</t>
  </si>
  <si>
    <t>CA-F-R30</t>
  </si>
  <si>
    <t>Frais de transfert d'argent à Abraham</t>
  </si>
  <si>
    <t>CA-F-R31</t>
  </si>
  <si>
    <t>CA-F-R32</t>
  </si>
  <si>
    <t>CA-F-R43</t>
  </si>
  <si>
    <t>CA-F-R33</t>
  </si>
  <si>
    <t>Achat credit téléphonique pour le coordinateur</t>
  </si>
  <si>
    <t>CA-F-R34</t>
  </si>
  <si>
    <t>CA-F-R44</t>
  </si>
  <si>
    <t>Frais de mission à Owando de maitre Alain du 27/02 au 04/03/2025</t>
  </si>
  <si>
    <t>CA-F-R35</t>
  </si>
  <si>
    <t>Reglement prestation de nettoyage jardin PALF du mois de Février 2025</t>
  </si>
  <si>
    <t>CA-F-R36</t>
  </si>
  <si>
    <t>Frais de transfert d'argent à IT87</t>
  </si>
  <si>
    <t>CA-F-R37</t>
  </si>
  <si>
    <t>Ramassage ordure du mois Février 2025/Bureau PALF</t>
  </si>
  <si>
    <t>CA-F-R38</t>
  </si>
  <si>
    <t>Frais de transfert d'argent à Romain</t>
  </si>
  <si>
    <t>CA-F-R45</t>
  </si>
  <si>
    <t>Reglement facture internet periode du 01/03 au 31/03/2025 bureau PALF</t>
  </si>
  <si>
    <t>Internet</t>
  </si>
  <si>
    <t>CA-F-R39</t>
  </si>
  <si>
    <t>Règlement prestation technicienne de surface (mois de Février 2025)</t>
  </si>
  <si>
    <t>CA-F-R40</t>
  </si>
  <si>
    <t>Achat fourniture de bureau/Classeurs,stylo,intercalaire,rame papier,surligneur,chemise cartonnée</t>
  </si>
  <si>
    <t>CA-F-R41</t>
  </si>
  <si>
    <t>Frais de carte de travail Parfaite</t>
  </si>
  <si>
    <t>CA-F-R42</t>
  </si>
  <si>
    <t>DH-F-R1</t>
  </si>
  <si>
    <t>Frais de transfert d'argent par western union à l'informateur</t>
  </si>
  <si>
    <t>DH-F-R2</t>
  </si>
  <si>
    <t>DH-F-R3</t>
  </si>
  <si>
    <t>DOVI -CONGO Ration du 15 Février 2025 au 25 Février 2025 soit 10 nuitées</t>
  </si>
  <si>
    <t>DH-F-D1</t>
  </si>
  <si>
    <t>Achat billet Owando -Brazzaville/DOVI</t>
  </si>
  <si>
    <t>DH-F-R4</t>
  </si>
  <si>
    <t>DOVI-CONGO Frais d'hôtel du 15 Février 2025 au 25 Février 2025 soit 10 nuitées à Owando(Hôtel Savouret)</t>
  </si>
  <si>
    <t>DH-F-R5</t>
  </si>
  <si>
    <t>Cumul frais de transport local du mois de Février 2025/DOVI</t>
  </si>
  <si>
    <t>DH-F-D2</t>
  </si>
  <si>
    <t>Cumul frais de transport local du mois de Février 2025/Merveille</t>
  </si>
  <si>
    <t>ME-F-D1</t>
  </si>
  <si>
    <t>COMPTA PARFAITE-Comptable</t>
  </si>
  <si>
    <t>Reçu caisse/Parfaite</t>
  </si>
  <si>
    <t>Cumul frais de transport local du mois de Février 2025/Parfaite</t>
  </si>
  <si>
    <t>P-F-D1</t>
  </si>
  <si>
    <t>Achat billet brazzaville-oyo/P29</t>
  </si>
  <si>
    <t>P29-F-R1</t>
  </si>
  <si>
    <t>P29 - CONGO Ration  du 05 au 28/02/2025 à Oyo,Tchikapika et Owando(23 Nuitées)</t>
  </si>
  <si>
    <t>P29-F-D1</t>
  </si>
  <si>
    <t>Achat billet oyo-tchikapika/P29</t>
  </si>
  <si>
    <t>P29-F-R2</t>
  </si>
  <si>
    <t>P29 - CONGO Frais d'hotel du 05 au 07/02/2025 à oyo(02 Nuitées)</t>
  </si>
  <si>
    <t>P29-F-R3</t>
  </si>
  <si>
    <t>P29 -CONGO Frais d'hotel du 07 au 09/02/2025 à tchikapika(02 Nuitées)</t>
  </si>
  <si>
    <t>P29-F-R4</t>
  </si>
  <si>
    <t>Achat billet tchikapika-ombele/P29</t>
  </si>
  <si>
    <t>P29-F-R5</t>
  </si>
  <si>
    <t>Cumul frais de trust building du mois de Février 2025/P29</t>
  </si>
  <si>
    <t>P29-F-D2</t>
  </si>
  <si>
    <t>P29-F-R6</t>
  </si>
  <si>
    <t>Achat billet ombele-owando/P29</t>
  </si>
  <si>
    <t>P29-F-R7</t>
  </si>
  <si>
    <t>P29 - CONGO Frais hotel du 10 au 24/02/2025 à owando/(14 Nuitées)</t>
  </si>
  <si>
    <t>P29-F-R8</t>
  </si>
  <si>
    <t>Location véhicule extraction owando-oyo/P29</t>
  </si>
  <si>
    <t>P29-F-R9</t>
  </si>
  <si>
    <t>Locaation vehicule 1 pour extraction  du stade à la vouma/P29</t>
  </si>
  <si>
    <t>P29-F-R10</t>
  </si>
  <si>
    <t>Locaation vehicule 2  pour extraction de la vouma station AOGC/P29</t>
  </si>
  <si>
    <t>P29-F-R11</t>
  </si>
  <si>
    <t>P29-F-R12</t>
  </si>
  <si>
    <t>P29-F-R13</t>
  </si>
  <si>
    <t>Achat billet billet oyo-brazzaville/P29</t>
  </si>
  <si>
    <t>P29-F-R14</t>
  </si>
  <si>
    <t>P29 - CONGO Frais d'hotel du 24 au 28/02/2025  à Oyo(04 Nuitées)</t>
  </si>
  <si>
    <t>P29-F-R15</t>
  </si>
  <si>
    <t>Cumul frais de transport local du mois de Février 2025/P29</t>
  </si>
  <si>
    <t>P29-F-D3</t>
  </si>
  <si>
    <t>Achat billet : Brazzaville - Makoua/T73</t>
  </si>
  <si>
    <t>T73-F-R1</t>
  </si>
  <si>
    <t>T73 - CONGO Ration du 06 au 28/12/2024 (22nuitées)à Makoua et Owando</t>
  </si>
  <si>
    <t>T73-F-D1</t>
  </si>
  <si>
    <t>T73 - CONGO Frais d'hotel du 06 au 10/02/2025 (04nuitées ) à Makoua</t>
  </si>
  <si>
    <t>T73-F-R2</t>
  </si>
  <si>
    <t>Achat billet : makoua - Owando/T73</t>
  </si>
  <si>
    <t>T73-F-R4</t>
  </si>
  <si>
    <t>T73 - CONGO Frais d'hotel du 10 au 22/02/2025 (12 nuitées ) à Owando</t>
  </si>
  <si>
    <t>T73-F-R5</t>
  </si>
  <si>
    <t>Cumul frais de trust building du mois de Février 2025/T73</t>
  </si>
  <si>
    <t>T73-F-D2</t>
  </si>
  <si>
    <t>T73 - CONGO Frais d'hotel du 24 au 28/02/2025 (04 nuitées ) à Oyo</t>
  </si>
  <si>
    <t>T73-F-R6</t>
  </si>
  <si>
    <t>Achat billet : Oyo - Brazzaville /T73</t>
  </si>
  <si>
    <t>T73-F-R7</t>
  </si>
  <si>
    <t>Cumul frais de transport local du mois de Février 2025/T73</t>
  </si>
  <si>
    <t>T73-F-D3</t>
  </si>
  <si>
    <t>Achat billet :Brazzaville -loudima /G12</t>
  </si>
  <si>
    <t>G12-F-R1</t>
  </si>
  <si>
    <t>G12-F-D1</t>
  </si>
  <si>
    <t>Achat billet: Loudima - sibiti/G12</t>
  </si>
  <si>
    <t>G12-F-R2</t>
  </si>
  <si>
    <t>G12 Congo frais d'hotel du 08 au 11/02/2025   à sibiti (3 nuitées)</t>
  </si>
  <si>
    <t>G12-F-R3</t>
  </si>
  <si>
    <t>Achat billet sibiti - loudima /G12</t>
  </si>
  <si>
    <t>G12-F-R4</t>
  </si>
  <si>
    <t>Achat billet loudima -nkayi / G12</t>
  </si>
  <si>
    <t>G12-F-R5</t>
  </si>
  <si>
    <t>G12-CONGO  frais d'hotel du 11 au 13 /02 / 2025 à nkayi (2nuitées)</t>
  </si>
  <si>
    <t>G12-F-R6</t>
  </si>
  <si>
    <t>Achat billet nkayi - madingou/G12</t>
  </si>
  <si>
    <t>G12-F-R7</t>
  </si>
  <si>
    <t>Cumul frais de trust building du mois de Février 2025/G12</t>
  </si>
  <si>
    <t>G12-F-D2</t>
  </si>
  <si>
    <t>Achat billet Madingou - brazzaville/G12</t>
  </si>
  <si>
    <t>G12-F-R8</t>
  </si>
  <si>
    <t>G12 CONGO frais d'hotel du 13 au 15 /02/2025(02 Nuitées)</t>
  </si>
  <si>
    <t>G12-F-R9</t>
  </si>
  <si>
    <t>Cumul frais de transport local du mois Février 2025/G12</t>
  </si>
  <si>
    <t>G12-F-D3</t>
  </si>
  <si>
    <t>Achat  Billet  Brazzaville-Owando/Romain</t>
  </si>
  <si>
    <t>RM-F-R1</t>
  </si>
  <si>
    <t>ROMAIN-CONGO: Ration du 05 au 07/02/2025 à Owando</t>
  </si>
  <si>
    <t>RM-F-D1</t>
  </si>
  <si>
    <t>Achat billet retour Owando-Brazzaville/Romain</t>
  </si>
  <si>
    <t>RM-F-R2</t>
  </si>
  <si>
    <t>ROMAIN - CONGO Frais d'hotel du 05 au 07/02/2025 à Owando(2 nuitées)</t>
  </si>
  <si>
    <t>RM-F-R3</t>
  </si>
  <si>
    <t>Achat Billet Brazzaville-Owando/Romain</t>
  </si>
  <si>
    <t>RM-F-R4</t>
  </si>
  <si>
    <t>RM-F-D2</t>
  </si>
  <si>
    <t>RM-F-R5</t>
  </si>
  <si>
    <t>Carburant BJ Opération</t>
  </si>
  <si>
    <t>RM-F-R6</t>
  </si>
  <si>
    <t>ROMAIN - CONGO - Frais d'hôtel du 15 au 25/02/2025 à Owando(10 Nuitées)</t>
  </si>
  <si>
    <t>RM-F-R8</t>
  </si>
  <si>
    <t>Impréssion de la procédure de la Gendarmerie</t>
  </si>
  <si>
    <t>RM-F-R7</t>
  </si>
  <si>
    <t>Cumul frais de transport local du mois de Février 2025/Romain</t>
  </si>
  <si>
    <t>RM-F-D3</t>
  </si>
  <si>
    <t>Achat billet Brazzaville- Loudima/Roderlin</t>
  </si>
  <si>
    <t>RO-F-R4</t>
  </si>
  <si>
    <t>RODERLIN-CONGO Ration du 13 au 15/02/2025 à Sibiti (02 nuitées)</t>
  </si>
  <si>
    <t>RO-F-D2</t>
  </si>
  <si>
    <t>Achat billet Loudima - Sibiti/Roderlin</t>
  </si>
  <si>
    <t>RO-F-R6</t>
  </si>
  <si>
    <t>Cumul frais de jail visits du mois de Février 2025/Roderlin</t>
  </si>
  <si>
    <t>RO-F-D3</t>
  </si>
  <si>
    <t>RODERLIN-CONGO frais d'hôtel du 13 au 15/02/2025 à Sibiti (02 nuitées)</t>
  </si>
  <si>
    <t>RO-F-R5</t>
  </si>
  <si>
    <t>Taxi: Sibiti-Loudima /Roderlin</t>
  </si>
  <si>
    <t>RO-F-R7</t>
  </si>
  <si>
    <t>Achat billet Loudima-Brazzaville /Roderlin</t>
  </si>
  <si>
    <t>RO-F-R8</t>
  </si>
  <si>
    <t>Cumul frais de transport local du mois de Février 2025/Roderlin</t>
  </si>
  <si>
    <t>RO-F-D4</t>
  </si>
  <si>
    <t xml:space="preserve"> Achat billet Brazzaville- Owando/Roderlin</t>
  </si>
  <si>
    <t>RO-F-R1</t>
  </si>
  <si>
    <t>RODERLIN-CONGO Ration du 05 au 07/02/2025 à Owando (02 nuitées)</t>
  </si>
  <si>
    <t>RO-F-D1</t>
  </si>
  <si>
    <t>Achat billet Owando- Brazzaville /Roderlin</t>
  </si>
  <si>
    <t>RO-F-R2</t>
  </si>
  <si>
    <t>RODERLIN-CONGO frais d'hôtel du 05 au 07/02/2025 à Owando (02 nuitées)</t>
  </si>
  <si>
    <t>RO-F-R3</t>
  </si>
  <si>
    <t>IT87 - CONGO Ration du 05 au 12/02/2025 à Makoua,etoumbi,Otende</t>
  </si>
  <si>
    <t>IT87-F-D1</t>
  </si>
  <si>
    <t>Achat billet Brazzaville - Makoua/ IT87</t>
  </si>
  <si>
    <t>IT87-F-R1</t>
  </si>
  <si>
    <t>Achat billet Makoua - Etoumbi/ IT87</t>
  </si>
  <si>
    <t>IT87 - CONGO Frais d'hôtel Akoua du 05 au 07/02/2025 à Etoumbi (02 nuitées)</t>
  </si>
  <si>
    <t>Achat billet Etoumbi - Makoua/ IT87</t>
  </si>
  <si>
    <t>IT87-F-R2</t>
  </si>
  <si>
    <t>Achat billet Makoua - Otende/ IT87</t>
  </si>
  <si>
    <t>IT87-F-R3</t>
  </si>
  <si>
    <t>IT87 - CONGOFrais d'hôtel le Pépin du 07 au 09/02/2025 à Otende (02 nuitées)</t>
  </si>
  <si>
    <t>IT87-F-R4</t>
  </si>
  <si>
    <t>Achat billet Otende - Oyo/ IT87</t>
  </si>
  <si>
    <t>IT87-F-R5</t>
  </si>
  <si>
    <t>IT87 - CONGO Frais d'hôtel Saint Benoît du 09 au 12/02/2025 à Oyo (03 nuitées)</t>
  </si>
  <si>
    <t>IT87-F-R6</t>
  </si>
  <si>
    <t>Achat billet Oyo - Brazzaville/ IT87</t>
  </si>
  <si>
    <t>IT87 - CONGO Ration du 15 au 22/02/2025 à Madingou, Mouyondzi et Loutété</t>
  </si>
  <si>
    <t>IT87-F-D2</t>
  </si>
  <si>
    <t>Achat billet Brazzaville - Madingou/ IT87</t>
  </si>
  <si>
    <t>IT87-F-R7</t>
  </si>
  <si>
    <t>IT87 - CONGO Frais d'hôtel Dzongo Bénoît du 15 au 18/02/2025 à Madingou (03 nuitées)</t>
  </si>
  <si>
    <t>IT87-F-R8</t>
  </si>
  <si>
    <t>Achat billet Madingou - Mouyondzi/ IT87</t>
  </si>
  <si>
    <t>IT87-F-R9</t>
  </si>
  <si>
    <t>IT87 - CONGO Frais d'hôtel DZA MATSAKA du 18 au 20/02/2025 à Mouyondzi (02 nuitées)</t>
  </si>
  <si>
    <t>IT87-F-R10</t>
  </si>
  <si>
    <t>Achat billet Mouyondzi - Loutété/ IT87</t>
  </si>
  <si>
    <t>IT87-F-R11</t>
  </si>
  <si>
    <t>IT87 - CONGO Frais d'hôtel Clair Matin du 20 au 22/02/2025 à Loutété (02 nuitées)</t>
  </si>
  <si>
    <t>IT87-F-R12</t>
  </si>
  <si>
    <t>Achat billet Loutété - Brazzaville/ IT87</t>
  </si>
  <si>
    <t>IT87-F-R13</t>
  </si>
  <si>
    <t>Achat billet Brazzaville - Loutété/ IT87</t>
  </si>
  <si>
    <t>IT87-F-R14</t>
  </si>
  <si>
    <t>IT87 - CONGO Ration  du 26 au 28/02/2025 à Loutété</t>
  </si>
  <si>
    <t>IT87-F-D3</t>
  </si>
  <si>
    <t>Cumul frais de Trust building du mois de Février 2025/IT87</t>
  </si>
  <si>
    <t>IT87-F-D4</t>
  </si>
  <si>
    <t>IT87 - CONGO Frais d'hôtel Clair Matin du 26 au 28/02/2025 à Loutété (02 nuitées)</t>
  </si>
  <si>
    <t>IT87-F-R15</t>
  </si>
  <si>
    <t>IT87-F-R16</t>
  </si>
  <si>
    <t>Cumul frais de Transport local du mois de Février 2025/IT87</t>
  </si>
  <si>
    <t>IT87-F-D5</t>
  </si>
  <si>
    <t>Cumul frais de transport local du mois de Février 2025/Abraham</t>
  </si>
  <si>
    <t>AB-F-D3</t>
  </si>
  <si>
    <t>CREPIN - CONGO Hébergement à l'hôtel Essebo d'Owando, 07 Nuitées du 15 au 22/02/2025</t>
  </si>
  <si>
    <t>Achat billet Brazzaville-Owando/DOVI</t>
  </si>
  <si>
    <t>G12 - CONGO  Ration du 08 au 15 /02/2025(07 Nuitées)</t>
  </si>
  <si>
    <t>Paiment assurance DOVI/Assistance Evacuation</t>
  </si>
  <si>
    <t>Achat credit  teléphonique Airtel/PALF/Deuxième partie du mois de Février 2025/Investigation</t>
  </si>
  <si>
    <t>P29 - CONGO Frais d'hotel du 09 au 10/02/2025 à ombele (01 Nuitée)</t>
  </si>
  <si>
    <t>Frais de transfert d'argent à P29 et IT87</t>
  </si>
  <si>
    <t>Fonds envoyé à un informateur en RDC pour des informations</t>
  </si>
  <si>
    <t>Fonds envoyé à un informateur  en RDC pour des informations</t>
  </si>
  <si>
    <t>P29 - CONGO Frais de Location d'appartement pour op à owando du 22 au 25/02/2025  (occupé par crepin)/03 Nuitées</t>
  </si>
  <si>
    <t>P29 - CONGO Frais de location d'appartement pour op à Owando du 22 au 25/02/2025  (occupé par T73)/03 Nuitées</t>
  </si>
  <si>
    <t>Paiment assurance DOVI/Individuelle Accidents Corporels</t>
  </si>
  <si>
    <t>Frais de transfert charden farell à Abraham (pour le compte de DOVI et Crépin)</t>
  </si>
  <si>
    <t>Departement</t>
  </si>
  <si>
    <t>Achat credit  teléphonique MTN/PALF/Première partie du mois de Mars2025/Management</t>
  </si>
  <si>
    <t>Achat credit  teléphonique MTN/PALF/Première partie du mois de Mars 2025/Legal</t>
  </si>
  <si>
    <t>Achat credit  teléphonique MTN/PALF/Première partie du mois de Mars 2025/Investigation</t>
  </si>
  <si>
    <t>Achat credit  teléphonique MTN/PALF/Première partie du mois de Mars 2025/Media</t>
  </si>
  <si>
    <t>Achat credit  teléphonique Airtel/PALF/Première partie du mois de Mars 2025/Legal</t>
  </si>
  <si>
    <t>Achat credit  teléphonique Airtel/PALF/Première partie du mois de Mars 2025/Investigation</t>
  </si>
  <si>
    <t>Achat credit  teléphonique Airtel/PALF/Première partie du mois de Mars 2025/Media</t>
  </si>
  <si>
    <t>Achat 01 telephone Tecno POP 7/ 64GB et 4ROM pour Abraham</t>
  </si>
  <si>
    <t>Achat carburant 100 Litres de gazoil groupe electrogène Bureau</t>
  </si>
  <si>
    <t>Bonus operation du 24/02/2025 à Owando/Evariste</t>
  </si>
  <si>
    <t>Bonus operation du 24/02/2025 à Owando/Merveille</t>
  </si>
  <si>
    <t>Bonus du mois de Janvier 2025/Parfaite</t>
  </si>
  <si>
    <t>Bonus operation du 24/02/2025 à Owando/Abraham</t>
  </si>
  <si>
    <t>Bonus media portant sur l'interpellation de 2 Présumés trafiquants le 24/02/205 à Owando</t>
  </si>
  <si>
    <t>Paiement salaire des jours travaillés en février 2025/Parfaite</t>
  </si>
  <si>
    <t>Frais de transfert d'argent en RDC</t>
  </si>
  <si>
    <t>Frais de transfert d'argent à Romain et Crepin</t>
  </si>
  <si>
    <t>Complement frais de mission maitre Banzouzi du 04 au 08/03/3035 à Owando</t>
  </si>
  <si>
    <t>Frais de transport mission maitre Marie Helène à Owando du 05 au 07/03/2025 suivi audience cas EBI</t>
  </si>
  <si>
    <t>Ration et frais d'hotel mission maitre Marie Helène à Owando du 05 au 07/03/2025 suivi audience cas EBI</t>
  </si>
  <si>
    <t>Bonus operation du 24/02/2025 à Owando/Crepin</t>
  </si>
  <si>
    <t>Frais de transfert Bonus à un informateur en RDC</t>
  </si>
  <si>
    <t>Bonus du mois de Février 2025/Romain</t>
  </si>
  <si>
    <t>Bonus operation du 24/02/2025 à Owando/Romain</t>
  </si>
  <si>
    <t>Règlement facture électricité piode Janvier-Février2025/bureau PALF</t>
  </si>
  <si>
    <t>Achat de 14 pagnes africain pour la JIF(08Mars)/Bureau PALF</t>
  </si>
  <si>
    <t>Achat credit téléphonique MTN pour Donald Roméo periode du 12 au 31/03/2025</t>
  </si>
  <si>
    <t>Frais de transfert d'argent à P29 et G12</t>
  </si>
  <si>
    <t>Achat credit  teléphonique MTN/PALF/Deuxième partie du mois de Mars2025/Management</t>
  </si>
  <si>
    <t>Achat credit  teléphonique MTN/PALF/Deuxième partie du mois de Mars 2025/Legal</t>
  </si>
  <si>
    <t>Achat credit  teléphonique MTN/PALF/Deuxième partie du mois de Mars 2025/Investigation</t>
  </si>
  <si>
    <t>Achat credit  teléphonique MTN/PALF/deuxième partie du mois de Mars 2025/Media</t>
  </si>
  <si>
    <t>Achat credit  teléphonique Airtel/PALF/Deuxième partie du mois de Mars 2025/Legal</t>
  </si>
  <si>
    <t>Achat credit  teléphonique Airtel/PALF/Deuxième partie du mois de Mars 2025/Investigation</t>
  </si>
  <si>
    <t>Frais de transport mission à Owando de maitre Alain du 19au 21/03/2025 suivi audience à Owando</t>
  </si>
  <si>
    <t>Frais de transfert d'argent à Crepin, Evariste, Abraham, Romain et Donald-Romeo</t>
  </si>
  <si>
    <t>Achat 05 Cartouche d'encre  HP Laser noire et couleur 216A</t>
  </si>
  <si>
    <t>Achat produit d'entretien  et Main d'œuvre du groupe électrogène/Bureau PALF</t>
  </si>
  <si>
    <t>Frais de transfert d'argent  à crepin et IT87</t>
  </si>
  <si>
    <t>Frais de transfert d'argent à  T73 par  momo</t>
  </si>
  <si>
    <t xml:space="preserve">Ration et frais d'hotel mission à Dolisie de maitre BANZOUZI Alain du 25/03/ au 05/04/2025 suivi audience </t>
  </si>
  <si>
    <t>Achat carburant groupe electrogène Bureau</t>
  </si>
  <si>
    <t>Bonus media portant sur l'interpellation de 2 Présumés trafiquants le 22/03/205 à Dolisie</t>
  </si>
  <si>
    <t>ramassage Ordure du mois de Mars 2025/Bureau PALF</t>
  </si>
  <si>
    <t>Frais de transfert d'argent  à crepin et Donald-Roméo</t>
  </si>
  <si>
    <t>Reglement prestation de nettoyage Bureau PALF du mois de Mars 2025</t>
  </si>
  <si>
    <t>Reglement facture internet periode du 01/04 au 30/04/2025 bureau PALF</t>
  </si>
  <si>
    <t>Frais de transfert d'argent à Crepin, Me Alain et Donald-Romeo</t>
  </si>
  <si>
    <t>CA-M-R1</t>
  </si>
  <si>
    <t>CA-M-R2</t>
  </si>
  <si>
    <t>CA-M-R3</t>
  </si>
  <si>
    <t>CA-M-R4</t>
  </si>
  <si>
    <t>CA-M-R5</t>
  </si>
  <si>
    <t>CA-M-R6</t>
  </si>
  <si>
    <t>CA-M-R7</t>
  </si>
  <si>
    <t>CA-M-R8</t>
  </si>
  <si>
    <t>CA-M-R9</t>
  </si>
  <si>
    <t>CA-M-R10</t>
  </si>
  <si>
    <t>CA-M-R11</t>
  </si>
  <si>
    <t>CA-M-R12</t>
  </si>
  <si>
    <t>CA-M-R13</t>
  </si>
  <si>
    <t>CA-M-R14</t>
  </si>
  <si>
    <t>CA-M-R15</t>
  </si>
  <si>
    <t>CA-M-R16</t>
  </si>
  <si>
    <t>CA-M-R17</t>
  </si>
  <si>
    <t>CA-M-R18</t>
  </si>
  <si>
    <t>CA-M-R19</t>
  </si>
  <si>
    <t>CA-M-R20</t>
  </si>
  <si>
    <t>CA-M-R21</t>
  </si>
  <si>
    <t>CA-M-R22</t>
  </si>
  <si>
    <t>CA-M-R23</t>
  </si>
  <si>
    <t>CA-M-R24</t>
  </si>
  <si>
    <t>CA-M-R25</t>
  </si>
  <si>
    <t>CA-M-R26</t>
  </si>
  <si>
    <t>CA-M-R27</t>
  </si>
  <si>
    <t>CA-M-R28</t>
  </si>
  <si>
    <t>CA-M-R29</t>
  </si>
  <si>
    <t>CA-M-R30</t>
  </si>
  <si>
    <t>CA-M-R31</t>
  </si>
  <si>
    <t>CA-M-R32</t>
  </si>
  <si>
    <t>CA-M-R33</t>
  </si>
  <si>
    <t>CA-M-R34</t>
  </si>
  <si>
    <t>CA-M-R35</t>
  </si>
  <si>
    <t>CA-M-R36</t>
  </si>
  <si>
    <t>CA-M-R37</t>
  </si>
  <si>
    <t>CA-M-R38</t>
  </si>
  <si>
    <t>CA-M-R39</t>
  </si>
  <si>
    <t>CA-M-R40</t>
  </si>
  <si>
    <t>CA-M-R41</t>
  </si>
  <si>
    <t>CA-M-R42</t>
  </si>
  <si>
    <t>CA-M-R43</t>
  </si>
  <si>
    <t>CA-M-R44</t>
  </si>
  <si>
    <t>CA-M-R45</t>
  </si>
  <si>
    <t>CA-M-R46</t>
  </si>
  <si>
    <t>CA-M-R47</t>
  </si>
  <si>
    <t>CA-M-R48</t>
  </si>
  <si>
    <t>CA-M-R49</t>
  </si>
  <si>
    <t>CA-M-R50</t>
  </si>
  <si>
    <t>CA-M-R51</t>
  </si>
  <si>
    <t>CA-M-R52</t>
  </si>
  <si>
    <t>CA-M-R53</t>
  </si>
  <si>
    <t>CA-M-R54</t>
  </si>
  <si>
    <t>CA-M-R55</t>
  </si>
  <si>
    <t>CA-M-D1</t>
  </si>
  <si>
    <t>CA-M-D2</t>
  </si>
  <si>
    <t>CA-M-D3</t>
  </si>
  <si>
    <t>CA-M-D4</t>
  </si>
  <si>
    <t>CA-M-D5</t>
  </si>
  <si>
    <t>CA-M-D6</t>
  </si>
  <si>
    <t>CA-M-D7</t>
  </si>
  <si>
    <t>CA-M-D8</t>
  </si>
  <si>
    <t>CA-M-D9</t>
  </si>
  <si>
    <t>CA-M-D10</t>
  </si>
  <si>
    <t>CA-M-D11</t>
  </si>
  <si>
    <t>CA-M-D12</t>
  </si>
  <si>
    <t>CA-M-D13</t>
  </si>
  <si>
    <t>CA-M-D14</t>
  </si>
  <si>
    <t>CA-M-D15</t>
  </si>
  <si>
    <t>Paiement salaire du mois de Février 2025/FOUMBA Roderlin/3654808</t>
  </si>
  <si>
    <t>Paiement salaire du mois de Février 2025/BOUNGOU MAKOSSO Abraham</t>
  </si>
  <si>
    <t>Paiement salaire du mois de Février 2025/LOUNDOU JeanRomain/3654807</t>
  </si>
  <si>
    <t>Paiement salaire du mois de Février 2025/Crepin IBOUILI-IBOUILI</t>
  </si>
  <si>
    <t>Paiement salaire du mois de Février 2025/Merveille MAHANGA</t>
  </si>
  <si>
    <t>Paiement salaire du mois de Février 2025/Evariste LELOUSSI</t>
  </si>
  <si>
    <t>Reglement honoraire du mois de Février 2025/T73/3654813</t>
  </si>
  <si>
    <t>Reglement honoraire du mois de Février 2025/P29/3654814</t>
  </si>
  <si>
    <t>Reglement honoraire du mois de Février 2025/IT87/3654815</t>
  </si>
  <si>
    <t>Reglement honoraire du mois de Février 2025/G12/3654816</t>
  </si>
  <si>
    <t>Reglement Facture Gardiennage Mois de Février 2025/3654817</t>
  </si>
  <si>
    <t>Frais de virement salaire février 2025</t>
  </si>
  <si>
    <t>Acompte honoraire contrat N°64_Dolisie cas NZETSI BIMOKO et Consorts/Maitre Marie Hélène NANITELAMIO MALONGA</t>
  </si>
  <si>
    <t>RAPATRIEME01100 RAO00010768/CHENE</t>
  </si>
  <si>
    <t>RAPATRIEME01100 RAO00010768/OAT</t>
  </si>
  <si>
    <t>Paiement Honoraire Me LOCKO/Mois de Janvier 2025/3654793</t>
  </si>
  <si>
    <t>Paiement Honoraire Me LOCKO/Mois de Février 2025/3654820</t>
  </si>
  <si>
    <t>Paiement salaire du mois de Février 2025/Homéfa DOVI/3654812</t>
  </si>
  <si>
    <t>Virement fonds à CJ</t>
  </si>
  <si>
    <t>Frais de virement de fonds à CJ</t>
  </si>
  <si>
    <t>Paiement congé et jours travaillés en Mars 2025/Merveille MAHANGA</t>
  </si>
  <si>
    <t>Frais de virement salaire Mervielle Mars 2025</t>
  </si>
  <si>
    <t>Solde honoraire contrat N°81_Owando cas MONICK François/Maitre Marie Alain BAZOUNZI</t>
  </si>
  <si>
    <t>Acompte honoraire contrat N°82_Owando cas NGASSAKI Dany et ELOMBO Levy/Maitre Marie Alain BAZOUNZI</t>
  </si>
  <si>
    <t>Paiement salaire du mois de Mars 2025/Homéfa DOVI/3654835</t>
  </si>
  <si>
    <t>Paiement salaire du mois de Mars 2025/BAVOUMINA NZOUSSI Dina Parfaite/365831</t>
  </si>
  <si>
    <t>Paiement salaire du mois de Mars 2025/FOUMBA Roderlin/3654825</t>
  </si>
  <si>
    <t>Paiement salaire du mois de Mars 2025/BOUNGOU MAKOSSO Abraham/3654824</t>
  </si>
  <si>
    <t>Paiement salaire du mois de Mars 2025/LOUNDOU JeanRomain/3654832</t>
  </si>
  <si>
    <t>Paiement salaire du mois de Mars 2025/Crepin IBOUILI-IBOUILI</t>
  </si>
  <si>
    <t>Paiement salaire du mois de Mars 2025/Evariste LELOUSSI</t>
  </si>
  <si>
    <t>Paiement salaire du mois de Mars 2025/PINDI BINGA Donald- Roméo</t>
  </si>
  <si>
    <t>Frais de virement salaire du mois de Mars 2025</t>
  </si>
  <si>
    <t>Reglement honoraire du mois de Mars 2025/P29/3654837</t>
  </si>
  <si>
    <t>Reglement honoraire du mois de Mars 2025/G12/3654833</t>
  </si>
  <si>
    <t>Reglement honoraire du mois de Mars 2025/T73/3654829</t>
  </si>
  <si>
    <t>Reglement honoraire du mois de Mars 2025/IT87/3654827</t>
  </si>
  <si>
    <t>Reglement Facture Gardiennage Mois de Mars 2025/3654828</t>
  </si>
  <si>
    <t>BQ-M-G1</t>
  </si>
  <si>
    <t>BQ-M-G2</t>
  </si>
  <si>
    <t>BQ-M-G3</t>
  </si>
  <si>
    <t>BQ-M-R1</t>
  </si>
  <si>
    <t>BQ-M-R2</t>
  </si>
  <si>
    <t>BQ-M-R3</t>
  </si>
  <si>
    <t>BQ-M-R4</t>
  </si>
  <si>
    <t>BQ-M-R5</t>
  </si>
  <si>
    <t>BQ-M-R6</t>
  </si>
  <si>
    <t>BQ-M-R7</t>
  </si>
  <si>
    <t>BQ-M-R8</t>
  </si>
  <si>
    <t>BQ-M-R9</t>
  </si>
  <si>
    <t>BQ-M-R10</t>
  </si>
  <si>
    <t>BQ-M-R11</t>
  </si>
  <si>
    <t>BQ-M-R12</t>
  </si>
  <si>
    <t>BQ-M-R13</t>
  </si>
  <si>
    <t>BQ-M-R14</t>
  </si>
  <si>
    <t>BQ-M-R15</t>
  </si>
  <si>
    <t>BQ-M-R16</t>
  </si>
  <si>
    <t>BQ-M-R17</t>
  </si>
  <si>
    <t>BQ-M-R18</t>
  </si>
  <si>
    <t>BQ-M-R19</t>
  </si>
  <si>
    <t>BQ-M-R20</t>
  </si>
  <si>
    <t>BQ-M-R21</t>
  </si>
  <si>
    <t>BQ-M-R22</t>
  </si>
  <si>
    <t>BQ-M-R23</t>
  </si>
  <si>
    <t>BQ-M-R24</t>
  </si>
  <si>
    <t>BQ-M-R25</t>
  </si>
  <si>
    <t>BQ-M-R26</t>
  </si>
  <si>
    <t>BQ-M-R27</t>
  </si>
  <si>
    <t>BQ-M-R28</t>
  </si>
  <si>
    <t>BQ-M-R29</t>
  </si>
  <si>
    <t>DH-M-R2</t>
  </si>
  <si>
    <t>Fonds envoyés à un informateur</t>
  </si>
  <si>
    <t>DH-M-R3</t>
  </si>
  <si>
    <t>DH-M-R4</t>
  </si>
  <si>
    <t>Cumul frais de transport local du mois de Mars 2025/DOVI</t>
  </si>
  <si>
    <t>DH-M-D1</t>
  </si>
  <si>
    <t>Cumul frais de transport local du mois de Mars 2025/Merveille</t>
  </si>
  <si>
    <t>P-M-D1</t>
  </si>
  <si>
    <t>Achat billet Brazzaville-Dolisie/P29</t>
  </si>
  <si>
    <t>P29-M-R1</t>
  </si>
  <si>
    <t>P29- CONGO Ration mission du 11 au 24/03/2025 à Dolisie et Madingou (13 Nuitées)</t>
  </si>
  <si>
    <t>P29-M-D1</t>
  </si>
  <si>
    <t>P29 -CONGO Frais d'hotel du 11 au 19/03/2025 à Dolisie (08 Nuitées)</t>
  </si>
  <si>
    <t>P29-M-R2</t>
  </si>
  <si>
    <t>Cumul frait de trust building du mois de Mars 2025/P29</t>
  </si>
  <si>
    <t>P29-M-D2</t>
  </si>
  <si>
    <t>P29-M-R3</t>
  </si>
  <si>
    <t>P29-M-R4</t>
  </si>
  <si>
    <t>Location véhicule pour extraction Dolisie-Madingou/P29</t>
  </si>
  <si>
    <t>P29-M-R5</t>
  </si>
  <si>
    <t>Achat billet madingou-brazzaville/P29</t>
  </si>
  <si>
    <t>P29-M-R6</t>
  </si>
  <si>
    <t>P29 -CONGO Frais d'hotel du 19 au 23/03/2025 à Dolisie lieu op(P29) (04 Nuitées)</t>
  </si>
  <si>
    <t>P29-M-R7</t>
  </si>
  <si>
    <t>P29 -CONGO Frais d'hotel du 19 au 23/03/2025 à Dolisie lieu op(Crépin) (04 Nuitées)</t>
  </si>
  <si>
    <t>P29-M-R8</t>
  </si>
  <si>
    <t>P29 -CONGO Frais d'hotel du 22 au 24/03/2025 à Madingou (02 Nuitées)</t>
  </si>
  <si>
    <t>P29-M-R9</t>
  </si>
  <si>
    <t>Cumul frait de transport du mois de Mars 2025/P29</t>
  </si>
  <si>
    <t>P29-M-D3</t>
  </si>
  <si>
    <t>versement</t>
  </si>
  <si>
    <t>payement frais d'inscription et mensuel pour la formation en anglais</t>
  </si>
  <si>
    <t>Team Building</t>
  </si>
  <si>
    <t>T73-M-R1</t>
  </si>
  <si>
    <t>T73-M-D1</t>
  </si>
  <si>
    <t>achat billet : Brazzaville - Djambala/T73</t>
  </si>
  <si>
    <t>T73-M-R2</t>
  </si>
  <si>
    <t>T73 - CONGO Frais d'hotel du 11 au 12/03/2025 (01 nuitée ) à Djambala</t>
  </si>
  <si>
    <t>T73-M-R3</t>
  </si>
  <si>
    <t>achat billet : Djambala - Lékana/T73</t>
  </si>
  <si>
    <t>T73-M-R4</t>
  </si>
  <si>
    <t>T73 - CONGO Frais d'hotel du 12 au 14/03/2025 (02 nuitées ) à Lékana</t>
  </si>
  <si>
    <t>T73-M-R5</t>
  </si>
  <si>
    <t>achat billet : Lekana - Djambala/T73</t>
  </si>
  <si>
    <t>T73-M-R6</t>
  </si>
  <si>
    <t>T73 - CONGO Frais d'hotel du 14 au 15/03/2025 (01 nuitée ) à Djambala</t>
  </si>
  <si>
    <t>T73-M-R7</t>
  </si>
  <si>
    <t>achat billet : Djambala - Ngo/T73</t>
  </si>
  <si>
    <t>T73-M-R8</t>
  </si>
  <si>
    <t>T73 - CONGO Frais d'hotel du 15 au 18/03/2025 (03 nuitées ) à Ngo</t>
  </si>
  <si>
    <t>T73-M-R9</t>
  </si>
  <si>
    <t>achat billet : Ngo - Brazzaville/T73</t>
  </si>
  <si>
    <t>T73-M-R10</t>
  </si>
  <si>
    <t>Achat sim/T73</t>
  </si>
  <si>
    <t>T73-M-R11</t>
  </si>
  <si>
    <t>T73 - CONGO Rattion  du 21 au 28/03/2025 à Pointe-Noire,Moukondo,Banda  (07nuitées)</t>
  </si>
  <si>
    <t>T73-M-D2</t>
  </si>
  <si>
    <t>achat billet  Bazzaville - Pointe noire/T73</t>
  </si>
  <si>
    <t>T73-M-R12</t>
  </si>
  <si>
    <t>achat billet Pointe Noire - Moukondo/T73</t>
  </si>
  <si>
    <t>T73-M-R13</t>
  </si>
  <si>
    <t>T73 - CONGO Frais d'hotel du 21 au 24/03/2025 (03 nuitées ) à Pointe noire</t>
  </si>
  <si>
    <t>T73-M-R14</t>
  </si>
  <si>
    <t>achat billet Moukondo - Banda/T73</t>
  </si>
  <si>
    <t>transport</t>
  </si>
  <si>
    <t>T73-M-R15</t>
  </si>
  <si>
    <t>T73 - CONGO Frais d'hotel du 24 au 25/03/2025 (01nuitées) à Moukondo</t>
  </si>
  <si>
    <t>T73-M-R16</t>
  </si>
  <si>
    <t>T73 - CONGO Frais d'hotel du 25 au 27/03/20225 (02 nuitées) à Banda</t>
  </si>
  <si>
    <t>T73-M-R17</t>
  </si>
  <si>
    <t>achat billet/T73 : Banda - Loudima/T73</t>
  </si>
  <si>
    <t>T73-M-R18</t>
  </si>
  <si>
    <t>Cumul frais de trust building du mois de Mars 2025/T73</t>
  </si>
  <si>
    <t>T73-M-D3</t>
  </si>
  <si>
    <t>T73 - CONGO Frais d'hotel du 24 au 25/03/2025 (01nuitées) à Loudima</t>
  </si>
  <si>
    <t>T73-M-R19</t>
  </si>
  <si>
    <t>achat billet Loudima - Brazzaville/T73</t>
  </si>
  <si>
    <t>T73-M-R20</t>
  </si>
  <si>
    <t>Cumul frais de transport local du mois de Mars 2025/T73</t>
  </si>
  <si>
    <t>T73-M-D4</t>
  </si>
  <si>
    <t xml:space="preserve">IT87 - CONGO Ration du 11 au 18/03/2025 à Pointe-Noire et Nkayi </t>
  </si>
  <si>
    <t>IT87-M-D1</t>
  </si>
  <si>
    <t>Achat billet Brazzaville - Pointe-Noire/ IT87</t>
  </si>
  <si>
    <t>IT87-M-R1</t>
  </si>
  <si>
    <t>IT87- CONGO Frais d'hôtel du 11 au 16/03/2025 à Pointe-Noire (05 nuitées)</t>
  </si>
  <si>
    <t>IT87-M-R2</t>
  </si>
  <si>
    <t>Achat billet Pointe-Noire - Nkayi/ IT87</t>
  </si>
  <si>
    <t>IT87-M-R3</t>
  </si>
  <si>
    <t>IT87- CONGO Frais d'hôtel  du 16 au 18/03/2025 à Nkayi ( 02 nuitées)</t>
  </si>
  <si>
    <t>IT87-M-R4</t>
  </si>
  <si>
    <t>Achat billet Nkayi -Brazzaville/ IT87</t>
  </si>
  <si>
    <t>IT87-M-R5</t>
  </si>
  <si>
    <t>IT87-M-R6</t>
  </si>
  <si>
    <t xml:space="preserve">IT87 - CONGO Ration  du 21 au 28/03/2025 à Mouyonzi et Bouansa </t>
  </si>
  <si>
    <t>IT87-M-D2</t>
  </si>
  <si>
    <t>IT87 - CONGO Frais d'hôtel  du 21 au 26/03/2025 à Mouyondzi (05 nuitées)</t>
  </si>
  <si>
    <t>IT87-M-R7</t>
  </si>
  <si>
    <t>IT87-M-R8</t>
  </si>
  <si>
    <t>IT87 - CONGO Frais d'hôtel du 26 au 28/03/2025 à Bouansa (02 nuitées)</t>
  </si>
  <si>
    <t>IT87-M-R9</t>
  </si>
  <si>
    <t>Achat billet Bouansa - Brazzaville/ IT87</t>
  </si>
  <si>
    <t>IT87-M-R10</t>
  </si>
  <si>
    <t>Cumul frais de trust building du mois de Mars 2025/IT87</t>
  </si>
  <si>
    <t>IT87-M-D3</t>
  </si>
  <si>
    <t>Cumul frais de transport local du mois de Mars 2025/IT87</t>
  </si>
  <si>
    <t>IT87-M-D4</t>
  </si>
  <si>
    <t>Achat billet brazzaville - dolisie/G12</t>
  </si>
  <si>
    <t>G12-M-R1</t>
  </si>
  <si>
    <t>G12-M-D1</t>
  </si>
  <si>
    <t>G12-M-D2</t>
  </si>
  <si>
    <t>G12-M-R2</t>
  </si>
  <si>
    <t>G12-M-R3</t>
  </si>
  <si>
    <t>G12 - CONGO Frais d'hotel du 22 au 24/03/2025 à Madingou (02 Nuitées)</t>
  </si>
  <si>
    <t>G12-M-R4</t>
  </si>
  <si>
    <t>G12-M-R5</t>
  </si>
  <si>
    <t>Cumul transport local du mois de Mars 2025/G12</t>
  </si>
  <si>
    <t>G12-M-D3</t>
  </si>
  <si>
    <t>RM-M-D1</t>
  </si>
  <si>
    <t>RM-M-R1</t>
  </si>
  <si>
    <t>Achat Billet Brazzaville-Dolisie/Romain</t>
  </si>
  <si>
    <t>RM-M-R2</t>
  </si>
  <si>
    <t>ROMAIN-CONGO: Ration du 17 au 29 mars 2025 à Dolisie et Sibiti/ 12 Nuitées</t>
  </si>
  <si>
    <t>RM-M-D2</t>
  </si>
  <si>
    <t>RM-M-R3</t>
  </si>
  <si>
    <t>Achat du Billet Dolisie-Sibiti/Romain</t>
  </si>
  <si>
    <t>RM-M-R4</t>
  </si>
  <si>
    <t>Cumul frais de Jails visists du mois de Mars 2025/Romain</t>
  </si>
  <si>
    <t>RM-M-D3</t>
  </si>
  <si>
    <t>ROMAIN - CONGO Frais d'hotel du 17/03/ au 27/03/2025 à Dolisie (10 nuitées)</t>
  </si>
  <si>
    <t>RM-M-R5</t>
  </si>
  <si>
    <t>ROMAIN - CONGO Frais d'hotel du 27/03/ au 29/03/2025 à Sibiti(02 nuitées)</t>
  </si>
  <si>
    <t>RM-M-R6</t>
  </si>
  <si>
    <t>RM-M-R7</t>
  </si>
  <si>
    <t>Billet Nkayi-Brazzaville/Romain</t>
  </si>
  <si>
    <t>RM-M-R8</t>
  </si>
  <si>
    <t>RM-M-D4</t>
  </si>
  <si>
    <t>Achat billet Owando-Brazzaville(Trans bony)/Abraham</t>
  </si>
  <si>
    <t>AB-M-R1</t>
  </si>
  <si>
    <t>ABRAHAM - CONGO frais d'Hôtel (Hôtel Case Mbali) du 20/02/2025 au 01/03/2025 Owando (09Nuitées)</t>
  </si>
  <si>
    <t>AB-M-R2</t>
  </si>
  <si>
    <t>AB-M-R3</t>
  </si>
  <si>
    <t xml:space="preserve">ABRAHAM - CONGO Ration du 17/03/2025 au 26/03/2025 à Dolisie (09 Nuitées) </t>
  </si>
  <si>
    <t>AB-M-D1</t>
  </si>
  <si>
    <t>AB-M-R4</t>
  </si>
  <si>
    <t>Achat billet Dolisie-Brazzaville/Abraham</t>
  </si>
  <si>
    <t>AB-M-R5</t>
  </si>
  <si>
    <t>Cumul frais de Jails visits du mois de Mars 2025/Abraham</t>
  </si>
  <si>
    <t>AB-M-D2</t>
  </si>
  <si>
    <t>ABRAHAM - CONGO frais d'Hôtel (Hôtel La Gloire) du 17/03/2025 au 26/03/2025 Dolisie (09Nuitées)</t>
  </si>
  <si>
    <t>AB-M-R6</t>
  </si>
  <si>
    <t>Cumul frais de transport local du mois de Mars 2025/Abraham</t>
  </si>
  <si>
    <t>AB-M-D3</t>
  </si>
  <si>
    <t>Achat billet Brazzaville-Owando/Roderlin</t>
  </si>
  <si>
    <t>RO-M-R1</t>
  </si>
  <si>
    <t>RODERLIN-CONGO Ration du 19 au 22/03/2025 à Owando (03 nuitées)</t>
  </si>
  <si>
    <t>RO-M-D1</t>
  </si>
  <si>
    <t>RO-M-R2</t>
  </si>
  <si>
    <t>RODERLIN-CONGO frais d'hôtel du 19 au 22/03/2025 à Owando (03 nuitées)</t>
  </si>
  <si>
    <t>RO-M-R3</t>
  </si>
  <si>
    <t>RO-M-D2</t>
  </si>
  <si>
    <t>Achat billet Brazzaville-Dolisie/Donald-Roméo</t>
  </si>
  <si>
    <t>DR-M-R1</t>
  </si>
  <si>
    <t>Ration  du  17/03/ au 05/04/2025 à Dolisie</t>
  </si>
  <si>
    <t>DR-M-D1</t>
  </si>
  <si>
    <t>Achat carburant BJ OP</t>
  </si>
  <si>
    <t>DR-M-R2</t>
  </si>
  <si>
    <t>DR-M-R3</t>
  </si>
  <si>
    <t>Frais d'impression de la procédure de la gendarmerie</t>
  </si>
  <si>
    <t>DR-M-R4</t>
  </si>
  <si>
    <t>Cumul frais de Jails visits du mois de Mars 2025/Donald-Romeo</t>
  </si>
  <si>
    <t>DR-M-D2</t>
  </si>
  <si>
    <t>Cumul frais de transport local du mois de Mars 2025/Donald-Romeo</t>
  </si>
  <si>
    <t>DR-M-D3</t>
  </si>
  <si>
    <t>EV-M-R1</t>
  </si>
  <si>
    <t>EVARISTE - CONGO Ration du 17 au 26 mars 2025  à Dolisie/09 Nuitées</t>
  </si>
  <si>
    <t>EV-M-D1</t>
  </si>
  <si>
    <t>EV-M-R2</t>
  </si>
  <si>
    <t>EVARISTE - CONGO Frais de l'hôtel du 17 au 26 mars 2025 à Dolisie (09 Nuitées)</t>
  </si>
  <si>
    <t>EV-M-R3</t>
  </si>
  <si>
    <t>Achat Billet  Dolisie-Brazzaville/Evariste</t>
  </si>
  <si>
    <t>EV-M-R4</t>
  </si>
  <si>
    <t>EV-M-D2</t>
  </si>
  <si>
    <t xml:space="preserve">CREPIN - CONGO Hébergement à l'hôtel Case Mbali d'Owando, 05 Nuitées du 24/02/ au 01/03/2025 </t>
  </si>
  <si>
    <t>CREPIN - CONGO Ration du du 05 au 08/03/2025  03 Nuitées  à Owando(03 Nuitées)</t>
  </si>
  <si>
    <t>CR-M-D1</t>
  </si>
  <si>
    <t xml:space="preserve">CREPIN-IBOULI CONGO Hébergement à l'hôtel Case Mbali d'Owando, 07 Nuitées du  01 au 08/03/2025 </t>
  </si>
  <si>
    <t>Billet: Owando-Brazaville/Crepin</t>
  </si>
  <si>
    <t>Billet: Brazzaville-Dolisie/Crépin</t>
  </si>
  <si>
    <t>CREPIN - CONGO Ration  du 17/03/ au 05/04/2025 à Dolisie(19 Nuitées)</t>
  </si>
  <si>
    <t>CR-M-D2</t>
  </si>
  <si>
    <t>CREPIN - CONGO  Frais d'hôtel à Dolisie du 17 au 19/03/2025, 02 Nuitées</t>
  </si>
  <si>
    <t>Raffraichissement et plats pendant l'attente de l'opération</t>
  </si>
  <si>
    <t>Bonus de 18 gendarmes pour l'opération du 22/03/2025 à Dolisie</t>
  </si>
  <si>
    <t>Bonus de 02 EF pour l'opération du 22/03/2025 à Dolisie</t>
  </si>
  <si>
    <t>Bonus pour 12 Policiers ayant effectué le transferèment de Moussa Grâce de Mossendjo à Dolisie</t>
  </si>
  <si>
    <t>Ration pour 12 policiers moyennant 5000 par policier ayant effectué le transferèment de Mossendjo à Dolisie</t>
  </si>
  <si>
    <t>Carburant aller de la BJ Mossendjo-Dolisie pour le transferèment</t>
  </si>
  <si>
    <t>Carburant retour de la BJ Dolisie-Mossendjo apès le transferèment</t>
  </si>
  <si>
    <t>Cumul frais de transport local du mois de Mars 2025/CREPIN</t>
  </si>
  <si>
    <t>M-M-D1</t>
  </si>
  <si>
    <t>BQ-M-R30</t>
  </si>
  <si>
    <t>BQ-M-R32</t>
  </si>
  <si>
    <t>BQ-M-R33</t>
  </si>
  <si>
    <t>BQ-M-R34</t>
  </si>
  <si>
    <t>BQ-M-R35</t>
  </si>
  <si>
    <t>BQ-M-R36</t>
  </si>
  <si>
    <t>UE</t>
  </si>
  <si>
    <t>OAT</t>
  </si>
  <si>
    <t>CR-M-R1</t>
  </si>
  <si>
    <t>CR-M-R2</t>
  </si>
  <si>
    <t>CR-M-R3</t>
  </si>
  <si>
    <t>CR-M-R4</t>
  </si>
  <si>
    <t>CR-M-R5</t>
  </si>
  <si>
    <t>CR-M-R6</t>
  </si>
  <si>
    <t>CR-M-R7</t>
  </si>
  <si>
    <t>CR-M-R8</t>
  </si>
  <si>
    <t>CR-M-R9</t>
  </si>
  <si>
    <t>CR-M-R10</t>
  </si>
  <si>
    <t>CR-M-R11</t>
  </si>
  <si>
    <t>CR-M-R12</t>
  </si>
  <si>
    <t>CR-M-D3</t>
  </si>
  <si>
    <t>Location vehicule 2 pour extraction  de  l'aeroport à tsila/P29</t>
  </si>
  <si>
    <t>Location vehicule 1 pour extraction  de BS à l'aeroport/P29</t>
  </si>
  <si>
    <t>Achat eau mineral 16 Litres/Bureau</t>
  </si>
  <si>
    <t>Reparation de court -circuit électrique du bureau</t>
  </si>
  <si>
    <t>T73 - CONGO Ration du 11 au 18/03/2025 (07nuitées) à Djambala,Lékana et NGO</t>
  </si>
  <si>
    <t xml:space="preserve">Achat 10 ampoules pour le bureau </t>
  </si>
  <si>
    <t xml:space="preserve">Bonus à un informateur en RDC </t>
  </si>
  <si>
    <t xml:space="preserve">ROMAIN-CONGO Ration du 04 au 08/03/2025 à Owando (04 Nuitées) </t>
  </si>
  <si>
    <t xml:space="preserve">G12 - GONGO Ration du 07 au 24/03/2025 à Dolisie et Madingou </t>
  </si>
  <si>
    <t>ROMAIN - CONGO Frais d'hotel du 25/02/au 08/03/2025 à Owando</t>
  </si>
  <si>
    <t>Billet Brazzaville-Dolisie/Abraham</t>
  </si>
  <si>
    <t xml:space="preserve">Achat billet Brazzaville-Dolisie/Evariste </t>
  </si>
  <si>
    <t xml:space="preserve">Frais de transport mission maitre Marie Helène à Owando du 19 au 22/03/2025 suivi audience cas EBI </t>
  </si>
  <si>
    <t xml:space="preserve">Ration et Frais d'hôtel  mission maitre Marie Helène à Owando du 19 au 22/03/2025 suivi audience cas EBI </t>
  </si>
  <si>
    <t xml:space="preserve">G12 - CONGO Frais d'hotel du 07 au 22/03/2025 à Dolisie (15 Nuitées) </t>
  </si>
  <si>
    <t>Frais de transport mission à Dolisie de maitre BANZOUZI Alain du 25/03/ au 05/04/2025 suivi audience</t>
  </si>
  <si>
    <t xml:space="preserve">Cumul frais de transport local du mois de Mars  2025 /Evariste </t>
  </si>
  <si>
    <t xml:space="preserve">Billet SIBITI- Nkayi/Romain </t>
  </si>
  <si>
    <t>Cumul frais de transfert local du mois de Mars 2025/Parfaite</t>
  </si>
  <si>
    <t xml:space="preserve">Cumul frais de transport local du mois de Mars 2025/Roderlin </t>
  </si>
  <si>
    <t xml:space="preserve">Cumul trust building du mois de Mars 2025/G12 </t>
  </si>
  <si>
    <t xml:space="preserve">Achat produit d'entretien lait,sucre,javel,papier toilette,sucre,café/Bureau PALF </t>
  </si>
  <si>
    <t>Office Materials</t>
  </si>
  <si>
    <t>Règlement loyer du mois d'Avril 2025/DOVI/Coordinateur PALF</t>
  </si>
  <si>
    <t>DH-A-R1</t>
  </si>
  <si>
    <t>Cumul frais de transport local du mois d'Avril 2025/DOVI</t>
  </si>
  <si>
    <t>DH-A-D1</t>
  </si>
  <si>
    <t>CREPIN -CONGO Fais l'hôtel du 22/03/ au 05/04/2025 à Dolisie (14 nuitées)</t>
  </si>
  <si>
    <t>CR-A-R1</t>
  </si>
  <si>
    <t>Achat billet Dolisie-Brazzaville/Crépin</t>
  </si>
  <si>
    <t>CR-A-R2</t>
  </si>
  <si>
    <t>Achat billet Brazzaville-Madingou/Crépin</t>
  </si>
  <si>
    <t>CR-A-R3</t>
  </si>
  <si>
    <t>CREPIN-CONGO Ration du 11 au 18/04/2025 à Madingou</t>
  </si>
  <si>
    <t>CR-A-D1</t>
  </si>
  <si>
    <t>CREPIN-CONGO Frais l'hôtel  du 11 au 13/04/2025 à Madingou(02 Nuitées)</t>
  </si>
  <si>
    <t>CR-A-R4</t>
  </si>
  <si>
    <t>Achat billet Madingou-Brazzaville/Crepin</t>
  </si>
  <si>
    <t>CR-A-R5</t>
  </si>
  <si>
    <t>CR-A-D2</t>
  </si>
  <si>
    <t>Cumul frais de transport local du mois d'Avril 2025/Crépin</t>
  </si>
  <si>
    <t>CA-A-R10</t>
  </si>
  <si>
    <t>CA-A-R33</t>
  </si>
  <si>
    <t>CA-A-R39</t>
  </si>
  <si>
    <t>Frais de nettoyage caniveau bureau PALF</t>
  </si>
  <si>
    <t>CA-A-D15</t>
  </si>
  <si>
    <t>Achat credit  teléphonique MTN/PALF/Première partie du mois d'Avril 2025/Management</t>
  </si>
  <si>
    <t>CA-A-R3</t>
  </si>
  <si>
    <t>Achat credit  teléphonique MTN/PALF/Première partie du mois d'Avril 2025/Legal</t>
  </si>
  <si>
    <t>CA-A-R4</t>
  </si>
  <si>
    <t>Achat credit  teléphonique MTN/PALF/Première partie du mois d'Avril 2025/Investigation</t>
  </si>
  <si>
    <t>CA-A-R5</t>
  </si>
  <si>
    <t>Achat credit  teléphonique MTN/PALF/Première partie du mois d'Avril 2025/Media</t>
  </si>
  <si>
    <t>CA-A-R6</t>
  </si>
  <si>
    <t>Achat credit  teléphonique Airtel/PALF/Première partie du mois d'Avril 2025/Legal</t>
  </si>
  <si>
    <t>CA-A-R7</t>
  </si>
  <si>
    <t>Achat credit  teléphonique Airtel/PALF/Première partie du mois d'Avril 2025/Investigation</t>
  </si>
  <si>
    <t>CA-A-R8</t>
  </si>
  <si>
    <t>Achat credit  teléphonique Airtel/PALF/Première partie du mois d'Avril 2025/Media</t>
  </si>
  <si>
    <t>CA-A-R9</t>
  </si>
  <si>
    <t>Bonus du mois de Mars 2025/Crepin</t>
  </si>
  <si>
    <t>CA-A-D2</t>
  </si>
  <si>
    <t>Bonus operation du 22/03/2025 à Dolisie/Crepin</t>
  </si>
  <si>
    <t>CA-A-D3</t>
  </si>
  <si>
    <t>Bonus du mois de Mars 2025/Parfaite</t>
  </si>
  <si>
    <t>CA-A-D4</t>
  </si>
  <si>
    <t>Bonus du mois de Mars 2025/Romain</t>
  </si>
  <si>
    <t>CA-A-D5</t>
  </si>
  <si>
    <t>Bonus du mois de Mars 2025/Donal-Roméo</t>
  </si>
  <si>
    <t>CA-A-D6</t>
  </si>
  <si>
    <t>Bonus du mois de Mars 2025/Abraham</t>
  </si>
  <si>
    <t>CA-A-D7</t>
  </si>
  <si>
    <t>Bonus du mois de Mars 2025/Roderlin</t>
  </si>
  <si>
    <t>CA-A-D8</t>
  </si>
  <si>
    <t>Bonus du mois de Mars 2025/Evariste</t>
  </si>
  <si>
    <t>CA-A-D9</t>
  </si>
  <si>
    <t>Bonus opération du 22/03/2025 à Dolisie/Donald-Roméo</t>
  </si>
  <si>
    <t>CA-A-D10</t>
  </si>
  <si>
    <t>Bonus opération du 22/03/2025 à Dolisie/Romain</t>
  </si>
  <si>
    <t>CA-A-D11</t>
  </si>
  <si>
    <t>Bonus opération du 22/03/2025 à Dolisie/Abraham</t>
  </si>
  <si>
    <t>CA-A-D12</t>
  </si>
  <si>
    <t>Bonus opération du 22/03/2025 à Dolisie/Evariste</t>
  </si>
  <si>
    <t>CA-A-D13</t>
  </si>
  <si>
    <t>Bonus du mois de Mars 2025/Merveille</t>
  </si>
  <si>
    <t>CA-A-D14</t>
  </si>
  <si>
    <t>CA-A-R18</t>
  </si>
  <si>
    <t>Règlement facture d'eau du mois de Janv, Fév, Mars, Avril  2025 bureau PALF</t>
  </si>
  <si>
    <t>CA-A-R24</t>
  </si>
  <si>
    <t>CA-A-R25</t>
  </si>
  <si>
    <t>Achat credit  teléphonique MTN/PALF/Deuxième partie du mois d'Avril2025/Management</t>
  </si>
  <si>
    <t>CA-A-R26</t>
  </si>
  <si>
    <t>Achat credit  teléphonique MTN/PALF/Deuxième partie du mois d'Avril 2025/Legal</t>
  </si>
  <si>
    <t>CA-A-R27</t>
  </si>
  <si>
    <t>Achat credit  teléphonique MTN/PALF/Deuxième partie du mois d'Avril 2025/Investigation</t>
  </si>
  <si>
    <t>CA-A-R28</t>
  </si>
  <si>
    <t>Achat credit  teléphonique MTN/PALF/deuxième partie du mois d'Avril 2025/Media</t>
  </si>
  <si>
    <t>CA-A-R29</t>
  </si>
  <si>
    <t>Achat credit  teléphonique Airtel/PALF/Deuxième partie du mois d'Avril 2025/Legal</t>
  </si>
  <si>
    <t>CA-A-R30</t>
  </si>
  <si>
    <t>Achat credit  teléphonique Airtel/PALF/Deuxième partie du mois d'Avril 2025/Investigation</t>
  </si>
  <si>
    <t>CA-A-R31</t>
  </si>
  <si>
    <t>Frais de carte de travail Donald-roméo</t>
  </si>
  <si>
    <t>CA-A-R36</t>
  </si>
  <si>
    <t xml:space="preserve"> frais de ramassage Ordure Avril 2025</t>
  </si>
  <si>
    <t>CA-A-R38</t>
  </si>
  <si>
    <t xml:space="preserve"> Frais de prestation de nettoyage jardin PALF Avril 2025</t>
  </si>
  <si>
    <t>CA-A-R45</t>
  </si>
  <si>
    <t>CA-A-R46</t>
  </si>
  <si>
    <t>Cumul frais de transport local du mois d'Avril 2025/ Parfaite</t>
  </si>
  <si>
    <t>P-A-D1</t>
  </si>
  <si>
    <t>Reglement facture internet periode du 01/05 au 31/05/2025 bureau PALF</t>
  </si>
  <si>
    <t>CA-A-R48</t>
  </si>
  <si>
    <t>Team building à l'occassion du 1er Mai 2025</t>
  </si>
  <si>
    <t>CA-A-R49</t>
  </si>
  <si>
    <t>T73-A-R1</t>
  </si>
  <si>
    <t>Achat billet  Brazzaville - Ewo/T73</t>
  </si>
  <si>
    <t>T73-A-R2</t>
  </si>
  <si>
    <t>T73-CONGO Ration du 08 au 15/04/2025 à Ewo, Boundji et Oyo (07nuitées)</t>
  </si>
  <si>
    <t>T73-A-D1</t>
  </si>
  <si>
    <t xml:space="preserve">T73 - CONGO Frais d'hotel du 08 au 11/04/2025 à Ewo (03nuitées) </t>
  </si>
  <si>
    <t>T73-A-R3</t>
  </si>
  <si>
    <t>Achat billet  Ewo - Oyo/T73</t>
  </si>
  <si>
    <t>T73-A-R4</t>
  </si>
  <si>
    <t xml:space="preserve">T73 - CONGO Frais d'hotel du 11 au 13/04/20225 à Oyo (02 nuitées) </t>
  </si>
  <si>
    <t>T73-A-R5</t>
  </si>
  <si>
    <t>Achat billet  Oyo - Boundji /T73</t>
  </si>
  <si>
    <t>T73-A-R6</t>
  </si>
  <si>
    <t xml:space="preserve">T73 - CONGO Frais d'hotel du 13 au 15/04/20225 à Boundji (02 nuitées) </t>
  </si>
  <si>
    <t>T73-A-R7</t>
  </si>
  <si>
    <t>Achat billet  Boundji - Brazzaville/T73</t>
  </si>
  <si>
    <t>T73-A-R8</t>
  </si>
  <si>
    <t>Cumul frais de trust building du mois d'Avril 2025/T73</t>
  </si>
  <si>
    <t>T73-A-D2</t>
  </si>
  <si>
    <t>Cumul frais de transport local du mois d'Avril 2025/T73</t>
  </si>
  <si>
    <t>T73-A-D3</t>
  </si>
  <si>
    <t>IT87-A-R1</t>
  </si>
  <si>
    <t>IT87-CONGO Ration du 04 au 18/04/2025 à Madingou</t>
  </si>
  <si>
    <t>IT87-A-D1</t>
  </si>
  <si>
    <t>Cumul frais de trust building du mois d'Avril 2025/IT87</t>
  </si>
  <si>
    <t>IT87-A-D2</t>
  </si>
  <si>
    <t>IT87-A-R2</t>
  </si>
  <si>
    <t>IT87 - CONGO Frais d'hôtel  du 04 au 18/04/2025 à Madingou (14 nuitées)</t>
  </si>
  <si>
    <t>IT87-A-R3</t>
  </si>
  <si>
    <t>Cumul frais de transport local du mois d'Avril 2025/IT87</t>
  </si>
  <si>
    <t>IT87-A-D3</t>
  </si>
  <si>
    <t>Paiement  frais d'inscription et mensuel de la formation en informatique</t>
  </si>
  <si>
    <t>G12-A-R1</t>
  </si>
  <si>
    <t>Achat billet Brazzaville - Pointe Noire/G12</t>
  </si>
  <si>
    <t>G12-A-R2</t>
  </si>
  <si>
    <t>G12-CONGO Ration du 08 au 15/04/2025 à Pointe-Noire, Madingo kayes et Nzassi</t>
  </si>
  <si>
    <t>G12-A-D1</t>
  </si>
  <si>
    <t>G12-CONGO Frais d'hotel du 08 au 11/04/2025 à Pointe Noire (03 Nuitées)</t>
  </si>
  <si>
    <t>G12-A-R3</t>
  </si>
  <si>
    <t>Achat billet  Pointe Noire - Madingo kayes/G12</t>
  </si>
  <si>
    <t>G12-A-R4</t>
  </si>
  <si>
    <t xml:space="preserve">G12-CONGO frais d'hotel du 11 au 13 /04/2025 à Madingo kayes (02 Nuitées) </t>
  </si>
  <si>
    <t>G12-A-R5</t>
  </si>
  <si>
    <t>Achat billet  Madingo kayes - Nzassi/G12</t>
  </si>
  <si>
    <t>G12-A-R6</t>
  </si>
  <si>
    <t xml:space="preserve">G12-CONGO Frais d'hotel du 13 au 14 /04 /2025  à nzassi (01 Nuitée) </t>
  </si>
  <si>
    <t>G12-A-R7</t>
  </si>
  <si>
    <t>Achat billet  Nzassi - Pointe Noire/G12</t>
  </si>
  <si>
    <t>G12-A-R8</t>
  </si>
  <si>
    <t xml:space="preserve">Achat billet Pointe Noire - Brazzaville </t>
  </si>
  <si>
    <t>G12-A-R9</t>
  </si>
  <si>
    <t>G12-CONGO Frais d'hotel du 14 au 15/04/2025 à Pointe Noire (01 Nuitée)</t>
  </si>
  <si>
    <t>G12-A-R10</t>
  </si>
  <si>
    <t>Frais de transfert d'argent à crépin, Evarste,  romain, roderlin et donald-roméo</t>
  </si>
  <si>
    <t>CA-A-R32</t>
  </si>
  <si>
    <t>Cumul frais de trust building du mois d'Avril 2025/G12</t>
  </si>
  <si>
    <t>G12-A-D2</t>
  </si>
  <si>
    <t>Cumul frais de transport local du mois d'Avril 2025/G12</t>
  </si>
  <si>
    <t>G12-A-D3</t>
  </si>
  <si>
    <t>Achat billet Brazzaville-Pointe Noire/Romain</t>
  </si>
  <si>
    <t>RM-A-R1</t>
  </si>
  <si>
    <t>RM-A-D1</t>
  </si>
  <si>
    <t>Cumul frais de jail visit du mois d'Avril 2025/Romain</t>
  </si>
  <si>
    <t>RM-A-D2</t>
  </si>
  <si>
    <t>Achat  billet Pointe Noire-Madingou/Romain</t>
  </si>
  <si>
    <t>RM-A-R2</t>
  </si>
  <si>
    <t>RM-A-R3</t>
  </si>
  <si>
    <t>Achat billet Madingou-Brazzaville/Romain</t>
  </si>
  <si>
    <t>RM-A-R4</t>
  </si>
  <si>
    <t>RM-A-R5</t>
  </si>
  <si>
    <t>Cumul frais de transport local du mois d'Avril 2025/Romain</t>
  </si>
  <si>
    <t>RM-A-D3</t>
  </si>
  <si>
    <t>Achat billet Brazzaville-Owando/Abraham</t>
  </si>
  <si>
    <t>AB-A-R1</t>
  </si>
  <si>
    <t xml:space="preserve">ABRAHAM - CONGO Ration du 16 au 18/04/2025 à Owando (02 Nuitées) </t>
  </si>
  <si>
    <t>AB-A-D1</t>
  </si>
  <si>
    <t>Achat billet Owando-Brazzaville/Abraham</t>
  </si>
  <si>
    <t>AB-A-R2</t>
  </si>
  <si>
    <t>ABRAHAM - CONGO Frais d'Hôtel du 16 au 17/04/2025 à Owando (02 Nuitées)</t>
  </si>
  <si>
    <t>AB-A-R3</t>
  </si>
  <si>
    <t>Cumul frais de transport local du mois d'Avril 2025/Abraham</t>
  </si>
  <si>
    <t>AB-A-D2</t>
  </si>
  <si>
    <t>CA-A-R13</t>
  </si>
  <si>
    <t>Frais de transport mission Maitre Alain à Sibiti du 10 au 12/04/2025</t>
  </si>
  <si>
    <t>CA-A-R14</t>
  </si>
  <si>
    <t>CA-A-R15</t>
  </si>
  <si>
    <t>Frais de transfert d'argent à Romain, Donald, Roderlin,  P29 et IT87</t>
  </si>
  <si>
    <t>CA-A-R17</t>
  </si>
  <si>
    <t>Frais de transfert d'argent à Crépin, Evarste,  P29 et IT87</t>
  </si>
  <si>
    <t>CA-A-R19</t>
  </si>
  <si>
    <t>Frais de transport mission Maitre Alain à Owando du 16 au 18/04/2025</t>
  </si>
  <si>
    <t>CA-A-R20</t>
  </si>
  <si>
    <t>Ration et frais d'hotel mission maitre Alain à Owando du 16 au 18/04/2025</t>
  </si>
  <si>
    <t>CA-A-R21</t>
  </si>
  <si>
    <t>Frais de transport mission Maitre Hélene à Owando du 16 au 18/04/2025</t>
  </si>
  <si>
    <t>CA-A-R22</t>
  </si>
  <si>
    <t>Ration et frais d'hotel mission maitre Hélene à Owando du 16 au 18/04/2025</t>
  </si>
  <si>
    <t>CA-A-R23</t>
  </si>
  <si>
    <t>CA-A-R35</t>
  </si>
  <si>
    <t>Achat billet Brazzaville-Owando/ Roderlin</t>
  </si>
  <si>
    <t>RO-A-R1</t>
  </si>
  <si>
    <t>Frais de transport mission Maitre Hélene à Owando du 02 au 04/04/2025</t>
  </si>
  <si>
    <t>CA-A-R1</t>
  </si>
  <si>
    <t>Ration et frais d'hotel mission maitre Hélene à Owando du 02au 04/04/2025</t>
  </si>
  <si>
    <t>CA-A-R2</t>
  </si>
  <si>
    <t>RO-A-D1</t>
  </si>
  <si>
    <t>Achat billet Owando- Brazzaville / Roderlin</t>
  </si>
  <si>
    <t>RO-A-R2</t>
  </si>
  <si>
    <t>RO-A-R3</t>
  </si>
  <si>
    <t>CA-A-R11</t>
  </si>
  <si>
    <t>CA-A-R12</t>
  </si>
  <si>
    <t>Achat billet Brazzaville-Loudima / Roderlin</t>
  </si>
  <si>
    <t>RO-A-R4</t>
  </si>
  <si>
    <t>Achat billet Loudima-Sibiti/ Roderlin</t>
  </si>
  <si>
    <t>RO-A-R5</t>
  </si>
  <si>
    <t>RO-A-D2</t>
  </si>
  <si>
    <t>Cumul frais de jail visit du mois d'Avril 2025/Roderlin</t>
  </si>
  <si>
    <t>RO-A-D3</t>
  </si>
  <si>
    <t>RO-A-R6</t>
  </si>
  <si>
    <t>Achat billet Sibiti-Nkayi/ Roderlin</t>
  </si>
  <si>
    <t>RO-A-R7</t>
  </si>
  <si>
    <t>Achat billet Nkayi-Madingou/Roderlin</t>
  </si>
  <si>
    <t>RO-A-R8</t>
  </si>
  <si>
    <t>Achat billet Madingou-Brazzaville/ Roderlin</t>
  </si>
  <si>
    <t>RO-A-R9</t>
  </si>
  <si>
    <t>RO-A-R10</t>
  </si>
  <si>
    <t>CA-A-R34</t>
  </si>
  <si>
    <t>Frais de transport mission Maitre Alain à Owando du 28 au 30/04/2025</t>
  </si>
  <si>
    <t>CA-A-R40</t>
  </si>
  <si>
    <t>Ration et frais d'hotel mission maitre Alain à Owando du 28 au 30/04/2025</t>
  </si>
  <si>
    <t>CA-A-R41</t>
  </si>
  <si>
    <t>Frais de transport mission Maitre Hélene à Owando du 28 au 30/04/2025</t>
  </si>
  <si>
    <t>CA-A-R42</t>
  </si>
  <si>
    <t>Ration et frais d'hotel mission maitre Hélene à Owando du 28 au 30/04/2025</t>
  </si>
  <si>
    <t>CA-A-R43</t>
  </si>
  <si>
    <t>CA-A-R44</t>
  </si>
  <si>
    <t>RO-A-R11</t>
  </si>
  <si>
    <t>RO-A-D4</t>
  </si>
  <si>
    <t>Court fees</t>
  </si>
  <si>
    <t>RO-A-R12</t>
  </si>
  <si>
    <t>RO-A-R13</t>
  </si>
  <si>
    <t>RO-A-R14</t>
  </si>
  <si>
    <t>Cumul frais de transport local du mois d'Avril 2025/Roderlin</t>
  </si>
  <si>
    <t>RO-A-D5</t>
  </si>
  <si>
    <t>Achat billet Dolisie-Brazzaville/ Donald-Roméo</t>
  </si>
  <si>
    <t>DR-A-R1</t>
  </si>
  <si>
    <t>DONALD ROMEO- CONGO Frais d'hôtel  du 17/03/ au 05/04/2025 à Dolisie (19 Nuitées)</t>
  </si>
  <si>
    <t>DR-A-R2</t>
  </si>
  <si>
    <t>Achat billet Brazzaville- Pointe Noire/ Donald-Roméo</t>
  </si>
  <si>
    <t>DR-A-R3</t>
  </si>
  <si>
    <t>DONALD ROMEO-CONGO Ration  du  09 au 18/04/2025 à Pointe-Noire et Madingou</t>
  </si>
  <si>
    <t>DR-A-D1</t>
  </si>
  <si>
    <t>Achat billet Pointe Noire- Madingou/ Donald-Roméo</t>
  </si>
  <si>
    <t>DR-A-R4</t>
  </si>
  <si>
    <t>DONALD ROMEO-CONGO Frais d'hôtel du 09 au 11/04/2025 à Pointe-Noire (02 Nuitées)</t>
  </si>
  <si>
    <t>DR-A-R5</t>
  </si>
  <si>
    <t>Achat billet Madingou-Brazzaville/ Donald-Roméo</t>
  </si>
  <si>
    <t>DR-A-R6</t>
  </si>
  <si>
    <t>DONALD ROMEO- CONGO Frais d'hôtel du  11 au 18/04/2025 à Madingou (07 Nuitées)</t>
  </si>
  <si>
    <t>DR-A-R7</t>
  </si>
  <si>
    <t>Achat billet Brazzaville-Owando/ Donald-Roméo</t>
  </si>
  <si>
    <t>DR-A-R8</t>
  </si>
  <si>
    <t>DONALD ROMEO- CONGO Ration  du  28 au 30/04/2025 à Owando</t>
  </si>
  <si>
    <t>DR-A-D2</t>
  </si>
  <si>
    <t>Achat billet Owando-Brazzaville/ Donald-Roméo</t>
  </si>
  <si>
    <t>DR-A-R9</t>
  </si>
  <si>
    <t>DONALD ROMEO- CONGO Frais d'hôtel du  28 au 30/04/2025 à Owando (02 Nuitées)</t>
  </si>
  <si>
    <t>DR-A-R10</t>
  </si>
  <si>
    <t>Cumul frais de transport local du mois d'Avril 2025/ Donald-Romeo</t>
  </si>
  <si>
    <t>DR-A-D3</t>
  </si>
  <si>
    <t>Achat billet Brazzaville-Madingou/Evariste</t>
  </si>
  <si>
    <t>EV-A-R1</t>
  </si>
  <si>
    <t>EV-A-D1</t>
  </si>
  <si>
    <t>Achat Billet Madingou-Brazzaville/Evariste</t>
  </si>
  <si>
    <t>EV-A-R2</t>
  </si>
  <si>
    <t>EV-A-R3</t>
  </si>
  <si>
    <t>Cumul frais de transport local du mois d'Avril 2025/Evariste</t>
  </si>
  <si>
    <t>EV-A-D2</t>
  </si>
  <si>
    <t>Bonus media portant sur l'interpellation de 2 Présumés trafiquants le 04/04/205 à Dolisie</t>
  </si>
  <si>
    <t>CA-A-D1</t>
  </si>
  <si>
    <t>CA-A-R16</t>
  </si>
  <si>
    <t>CA-A-R37</t>
  </si>
  <si>
    <t xml:space="preserve">Bonus media portant sur l'annonce de l'audience du 29 Avril 2025 au tribunal de gande instance d'Owado </t>
  </si>
  <si>
    <t>CA-A-D16</t>
  </si>
  <si>
    <t>Frais de l'avis de recrutement  investigateurs dans le depeches de Brazzaville</t>
  </si>
  <si>
    <t>CA-A-R47</t>
  </si>
  <si>
    <t>Reason for Difference: Transfert charden farell</t>
  </si>
  <si>
    <t>Paiement Honoraire Me LOCKO/Mois de Mars 2025/3654840</t>
  </si>
  <si>
    <t>Acompte honoraire contrat n°83 Dolisie cas NDOHO et NGOMA/ Maître BANZOUZI Alain/3654850</t>
  </si>
  <si>
    <t>Paiement CNSS premier trimestre/Janvier,Février et Mars 2025/Crepin /3654848</t>
  </si>
  <si>
    <t>Paiement CNSS premier trimestre/Janvier,Février et Mars 2025/Donald-Roméo/3654848</t>
  </si>
  <si>
    <t>Paiement CNSS premier trimestre/Janvier,Février et Mars 2025/Romain/3654848</t>
  </si>
  <si>
    <t>Paiement CNSS premier trimestre/Janvier,Février et Mars 2025/Roderlin/3654848</t>
  </si>
  <si>
    <t>Paiement CNSS premier trimestre/Janvier,Février et Mars 2025/Abraham/3654848</t>
  </si>
  <si>
    <t>Paiement CNSS premier trimestre/Janvier,Février et Mars 2025/Parfaite/3654848</t>
  </si>
  <si>
    <t>Paiement CNSS premier trimestre/Janvier,Février et Mars 2025/Merveille/3654848</t>
  </si>
  <si>
    <t>Paiement CNSS premier trimestre/Janvier,Février et Mars 2025/Evariste/3654848</t>
  </si>
  <si>
    <t>Reglement honoraire du mois d'Avril 2025/IT87/3654843</t>
  </si>
  <si>
    <t>Paiement salaire du mois d'Avril 2025/Crepin IBOUILI-IBOUILI</t>
  </si>
  <si>
    <t>Paiement salaire du mois d'Avril 2025/Evariste LELOUSSI/3654857</t>
  </si>
  <si>
    <t>Paiement salaire du mois d'Avril 2025/PINDI BINGA Donald- Roméo</t>
  </si>
  <si>
    <t>Reglement loyer du mois d'Avril 2025/3654847</t>
  </si>
  <si>
    <t>Reglement honoraire du mois de d'Avril 2025/P29/3654846</t>
  </si>
  <si>
    <t>Reglement honoraire du mois d'Avril 2025/G12/3654859</t>
  </si>
  <si>
    <t>Reglement honoraire du mois d'Avril 2025/T73/365482960</t>
  </si>
  <si>
    <t>RAPATRIEME01100NRAO00010782</t>
  </si>
  <si>
    <t>BQ-A-R1</t>
  </si>
  <si>
    <t>BQ-A-R2</t>
  </si>
  <si>
    <t>BQ-A-R3</t>
  </si>
  <si>
    <t>BQ-A-R4</t>
  </si>
  <si>
    <t>BQ-A-R5</t>
  </si>
  <si>
    <t>BQ-A-R6</t>
  </si>
  <si>
    <t>BQ-A-R7</t>
  </si>
  <si>
    <t>BQ-A-R8</t>
  </si>
  <si>
    <t>BQ-A-R9</t>
  </si>
  <si>
    <t>BQ-A-R10</t>
  </si>
  <si>
    <t>BQ-A-R11</t>
  </si>
  <si>
    <t>BQ-A-R12</t>
  </si>
  <si>
    <t>BQ-A-R13</t>
  </si>
  <si>
    <t>BQ-A-R14</t>
  </si>
  <si>
    <t>BQ-A-R15</t>
  </si>
  <si>
    <t>BQ-A-R16</t>
  </si>
  <si>
    <t>BQ-A-R17</t>
  </si>
  <si>
    <t>BQ-A-R18</t>
  </si>
  <si>
    <t>BQ-A-R19</t>
  </si>
  <si>
    <t>BQ-A-R20</t>
  </si>
  <si>
    <t>BQ-A-R21</t>
  </si>
  <si>
    <t>BQ-A-R22</t>
  </si>
  <si>
    <t>BQ-A-R23</t>
  </si>
  <si>
    <t>BQ-A-R24</t>
  </si>
  <si>
    <t>BQ-A-R25</t>
  </si>
  <si>
    <t>BQ-A-G1</t>
  </si>
  <si>
    <t>Paiement Honoraire Me LOCKO/Mois d'Avril 2025/3654856</t>
  </si>
  <si>
    <t>Paiement salaire du mois d'Avril 2025/LOUNDOU JeanRomain/3654853</t>
  </si>
  <si>
    <t>Achat billet Brazzaville-Madingou/P29</t>
  </si>
  <si>
    <t>P29-A-R1</t>
  </si>
  <si>
    <t>P29 - CONGO Ration  du 04 au 18/04/2025 à Madingou (14Nuitées)</t>
  </si>
  <si>
    <t>P29-A-D1</t>
  </si>
  <si>
    <t>P29 -CONGO Frais d'hotel du 04 au 13/04/2025 à Madingou (09 Nuitées)</t>
  </si>
  <si>
    <t>P29-A-R2</t>
  </si>
  <si>
    <t>Achat billet Madingou-Brazzaville/P29</t>
  </si>
  <si>
    <t>P29-A-R3</t>
  </si>
  <si>
    <t>P29-A-R4</t>
  </si>
  <si>
    <t>P29-A-R5</t>
  </si>
  <si>
    <t>Cumul frais de frais de transport local du mois d'Avril 2025/P29</t>
  </si>
  <si>
    <t>P29-A-D2</t>
  </si>
  <si>
    <t>Cumul frais de trust building du mois d'Avril 2025/P29</t>
  </si>
  <si>
    <t>P29-A-D3</t>
  </si>
  <si>
    <t>Frais de virement salaire du mois d'avril 2025</t>
  </si>
  <si>
    <t>Ration et frais d'hôtel mission maitre Alain à Sibiti du 10 au 12/04/2025</t>
  </si>
  <si>
    <t>Romain- CONGO  Ration du 09 au 18/04/2025 à Pointe Noire,  Madingou</t>
  </si>
  <si>
    <t>Romain-CONGO Frais  d'Hôtel du 09 au 11/04/2025 à Pointe-Noire (02 nuitées)</t>
  </si>
  <si>
    <t>Romain- CONGO Frais  d'Hôtel du 11 au 18/04//2025 à Madingou  (07 nuités)</t>
  </si>
  <si>
    <t>Evariste-CONGO Ration du 11 au 18 Avril 2025 à Madingou</t>
  </si>
  <si>
    <t>Evariste-CONGO Frais de l'hôtel du 11 au 18 Avril 2025 à Madingou ( 7 nuitées)</t>
  </si>
  <si>
    <t>Frais d'impression sur bâche</t>
  </si>
  <si>
    <t>Déjeûner des agents du PALF</t>
  </si>
  <si>
    <t>Paiement frais de formation mensuel/formation en anglais</t>
  </si>
  <si>
    <t xml:space="preserve">Roderlin-CONGO Ration du 10 au 18/04/2025 à Sibiti et Madingou </t>
  </si>
  <si>
    <t xml:space="preserve">Roderlin-CONGO Ration du 02 au 04/04/2025 à Owando </t>
  </si>
  <si>
    <t>Roderlin-CONGO frais d'hôtel du 02 au 04/04/2025 à Owando (02 nuitées)</t>
  </si>
  <si>
    <t>Roderlin-CONGO frais d'hôtel du 10 au 12/04/2025 à Sibiti (02 nuitées)</t>
  </si>
  <si>
    <t>Roderlin-CONGO frais d'hôtel du 12 au 18/04/2025 à Madingou (06 nuitées)</t>
  </si>
  <si>
    <t>Achat carburant groupe élèctrogène Bureau</t>
  </si>
  <si>
    <t xml:space="preserve">Roderlin-CONGO Ration du 28 au 30/04/2025 à Owando </t>
  </si>
  <si>
    <t>Roderlin-CONGO frais d'hôtel du 28 au 30/04/2025 à Owando (02 nuitées)</t>
  </si>
  <si>
    <t>P29 -CONGO Frais d'hotel du 13 au 19/04/2025 à Madingou lieu OP1(P29) (06 Nuitées)</t>
  </si>
  <si>
    <t>P29 -CONGO Frais d'hotel du 13 au 19/04/2025 à Madingou lieu OP 2(Crépin) (06 Nuitées)</t>
  </si>
  <si>
    <t>Paiement salaire du mois d'Avril 2025/Homéfa DOVI/3654855</t>
  </si>
  <si>
    <t>Paiement salaire du mois d'Avril 2025/BAVOUMINA NZOUSSI Dina Parfaite/365854</t>
  </si>
  <si>
    <t>Paiement salaire du mois d'Avril 2025/BOUNGOU MAKOSSO Abraham/3654851</t>
  </si>
  <si>
    <t>Solde  honoraire contrat n°55 Brazzaville cas / Maître MALONGA Marie Hélène/3654844</t>
  </si>
  <si>
    <t>Solde  honoraire contrat n°83 Dolisie cas NDOHO et NGOMA/ Maître BANZOUZI Alain/3654845</t>
  </si>
  <si>
    <t>Frais de la matérialisation de décisions de justice/Frais d'expédition/Paiement de l'acte d'appel</t>
  </si>
  <si>
    <t>Achat billet Owando-Brazzaville/ Roderlin</t>
  </si>
  <si>
    <t>Training</t>
  </si>
  <si>
    <t>Wildcat  2025</t>
  </si>
  <si>
    <t>Crepin</t>
  </si>
  <si>
    <t>phone credit received</t>
  </si>
  <si>
    <t>phone credit bought</t>
  </si>
  <si>
    <t>distributed</t>
  </si>
  <si>
    <t>name</t>
  </si>
  <si>
    <t>balance</t>
  </si>
  <si>
    <t>Date+A1:E38</t>
  </si>
  <si>
    <t>Solde  honoraire contrat n°82 Owando cas NGASSAKI et ELOMBO/ Maître BANZOUZI Alain/3654862</t>
  </si>
  <si>
    <t>Reglement Facture Gardiennage Mois d'Avril 2025/3654863</t>
  </si>
  <si>
    <t>Paiement salaire du mois de Mai 2025/Homéfa DOVI/3654869</t>
  </si>
  <si>
    <t>Paiement salaire du mois de Mai 2025/BAVOUMINA NZOUSSI Dina Parfaite/365873</t>
  </si>
  <si>
    <t>Paiement salaire du mois de Mai 2025/FOUMBA Roderlin/3654872</t>
  </si>
  <si>
    <t>Paiement salaire du mois de Mai 2025/BOUNGOU MAKOSSO Abraham/3654870</t>
  </si>
  <si>
    <t>Paiement salaire du mois de Mai 2025/LOUNDOU JeanRomain/3654871</t>
  </si>
  <si>
    <t>Paiement salaire du mois de Mai 2025/Crepin IBOUILI-IBOUILI</t>
  </si>
  <si>
    <t>Paiement salaire du mois de  Mai 2025/Evariste LELOUSSI</t>
  </si>
  <si>
    <t>Paiement salaire du mois de Mai 2025/PINDI BINGA Donald- Roméo</t>
  </si>
  <si>
    <t>Paiement Honoraire Me LOCKO/Mois de Mai 2025/3654877</t>
  </si>
  <si>
    <t>Reglement honoraire du mois de Mai 2025/G12/3654842</t>
  </si>
  <si>
    <t>RAPATRIEME01100 RAO00010812</t>
  </si>
  <si>
    <t>Paiement salaire du mois d'Avril 2025/FOUMBA Roderlin/36552</t>
  </si>
  <si>
    <t>Reglement loyer du mois de Mars 2025/3654865</t>
  </si>
  <si>
    <t>Frais de virement salaire du mois de Mai 2025/Evariste</t>
  </si>
  <si>
    <t>Frais de virement salaire du mois de Mai 2025/Crepin IBOUILI</t>
  </si>
  <si>
    <t>Frais de virement salaire du mois de Mai 2025/Donald-Roméo</t>
  </si>
  <si>
    <t>Oui</t>
  </si>
  <si>
    <t xml:space="preserve">Frais de transfert d'argent à P29 </t>
  </si>
  <si>
    <t>Frais de transfert d'argent à G12 et T73</t>
  </si>
  <si>
    <t>Frais de transport mission Maitre Alain à Dolisie du 07 au 10/05/2025</t>
  </si>
  <si>
    <t>Ration et frais d'hotel mission maitre Alain à Dolisie du 07 au 10/05/2025</t>
  </si>
  <si>
    <t>Frais de transfert d'argent à Donald-Roméo ,Me Alain et  Romain</t>
  </si>
  <si>
    <t>Réglement facture électricité periode Mars-Avril 2025/bureau PALF</t>
  </si>
  <si>
    <t>Entretien palmier bureau PALF</t>
  </si>
  <si>
    <t>Frais de tansfert d'argent à P29, T73, G12, Crépin et Donald roméo</t>
  </si>
  <si>
    <t>Fabricarion de cachet numériquebureau PALF</t>
  </si>
  <si>
    <t>Equipment</t>
  </si>
  <si>
    <t>Bonus du mois d'Avril 2025/Evariste</t>
  </si>
  <si>
    <t>Achat de 04 power Bank 20000mAh</t>
  </si>
  <si>
    <t>Reglement frais de réparation d'ordunateur</t>
  </si>
  <si>
    <t>Frais de tansfert d'argent à IT87</t>
  </si>
  <si>
    <t xml:space="preserve">Frais de tansfert d'argent à Evariste et  P29 </t>
  </si>
  <si>
    <t>Achat encre HP Laser noir et couleur 216A</t>
  </si>
  <si>
    <t>Paiement frais d'impression carte de visite coordinateur</t>
  </si>
  <si>
    <t>Frais de tansfert d'argent à P29 et Evariste</t>
  </si>
  <si>
    <t xml:space="preserve"> Frais de prestation de nettoyage jardin PALF Mai 2025</t>
  </si>
  <si>
    <t>Paiement Certificats d'hébergement  de martina et valentina</t>
  </si>
  <si>
    <t>Travel Expenses</t>
  </si>
  <si>
    <t>Reglement prestation de nettoyage  PALF du mois de Mai 2025</t>
  </si>
  <si>
    <t xml:space="preserve"> frais de ramassage Ordure Mai 2025</t>
  </si>
  <si>
    <t>Reglement facture internet periode du 01/05 au 30/06/2025 bureau PALF</t>
  </si>
  <si>
    <t>Frais de tansfert d'argent à Crepin, Donald-Roméo et Evariste</t>
  </si>
  <si>
    <t>Frais de tansfert d'argent à P29 et T73</t>
  </si>
  <si>
    <t>Frais de transport mission Maitre Alain à Impfondo du 01 au 06/06/2025</t>
  </si>
  <si>
    <t>Ration et frais d'hotel mission maitre Alain à Impfondo du 01 au 06/06/2025</t>
  </si>
  <si>
    <t>Bonus media portant sur l'interpellation de 2 Présumés trafiquants le 29/04/2025 à Owando</t>
  </si>
  <si>
    <t>credit  teléphonique MTN/PALF/Première partie du mois de mai 2025/Investigation</t>
  </si>
  <si>
    <t>credit  teléphonique MTN/PALF/Première partie du mois de Mai 2025/Investigation</t>
  </si>
  <si>
    <t>credit  teléphonique Airtel/PALF/Première partie du mois de mai 2025/Legal</t>
  </si>
  <si>
    <t>credit  teléphonique Airtel/PALF/Première partie du mois de mai 2025/Investigation</t>
  </si>
  <si>
    <t>office</t>
  </si>
  <si>
    <t>credit  teléphonique  du mois de mai 2025/Media</t>
  </si>
  <si>
    <t>credit  teléphonique du mois de Mai 2025/Investigation</t>
  </si>
  <si>
    <t>credit  teléphonique MTN/PALF/ Deuxième partie du mois de mai 2025/Investigation</t>
  </si>
  <si>
    <t>credit  teléphonique MTN/PALF/ Deuxième partie du mois de mai 2025/Legal</t>
  </si>
  <si>
    <t>credit  teléphonique Airtel/PALF/Deuxième  partie du mois de Mail 2025/Legal</t>
  </si>
  <si>
    <t>credit  teléphonique Airtel/PALF/Deuxième partie du mois de mai 2025/Investigation</t>
  </si>
  <si>
    <t>credit  teléphonique MTN/PALF/ Deuxième partie du mois de mai 2025/Management</t>
  </si>
  <si>
    <t>credit  teléphonique MTN/PALF/ Deuxième partie du mois de mai 2025/Office</t>
  </si>
  <si>
    <t>credit  teléphonique MTN/PALF/Première partie du mois de Juin 2025/Investigation</t>
  </si>
  <si>
    <t>credit  teléphonique MTN/PALF/Première partie du mois de JUIN 2025/Legal</t>
  </si>
  <si>
    <t>credit  teléphonique MTN/PALF/Première partie du mois de Juin 2025/Management</t>
  </si>
  <si>
    <t>credit  teléphonique MTN/PALF/Première partie du mois de Juin 2025/Office</t>
  </si>
  <si>
    <t>credit  teléphonique MTN/PALF/Première partie du mois de Mai 2025/Legal</t>
  </si>
  <si>
    <t>credit  teléphonique MTN/PALF/Première partie du mois de Mai 2025/Management</t>
  </si>
  <si>
    <t>credit  teléphonique MTN/PALF/Première partie du mois de Mai 2025/Office</t>
  </si>
  <si>
    <t>credit  teléphonique Airtel/PALF/Première partie du mois de Mai 2025/Legal</t>
  </si>
  <si>
    <t>credit  teléphonique Airtel/PALF/Première partie du mois de Juin 2025/Legal</t>
  </si>
  <si>
    <t>credit  teléphonique Airtel/PALF/Première partie du mois de Juin 2025/Investigation</t>
  </si>
  <si>
    <t>credit  teléphonique Airtel/PALF/Première partie du mois de Juin 2025/Media</t>
  </si>
  <si>
    <t>credit  teléphonique MTN/PALF/Première partie du mois de Juin 2025/Media</t>
  </si>
  <si>
    <t>IT87-MA-R1</t>
  </si>
  <si>
    <t>IT87-CONGO Ration du 21 au 29/05/2025 à Makoua, kelle, Etoumbi</t>
  </si>
  <si>
    <t>IT87-MA-D1</t>
  </si>
  <si>
    <t>IT87-CONGO Frais d'hôtel du 21 au 22/05/2025 à Makoua (01 nuitée)</t>
  </si>
  <si>
    <t>IT87-MA-R2</t>
  </si>
  <si>
    <t>Achat billet Makoua - Kelle/ IT87</t>
  </si>
  <si>
    <t>IT87-MA-R3</t>
  </si>
  <si>
    <t>IT87-CONGO Frais d'hôtel  du 22 au 26/05/2025 à Kelle (04 nuitées)</t>
  </si>
  <si>
    <t>IT87-MA-R4</t>
  </si>
  <si>
    <t>Achat billet Kelle - Etoumbi/ IT87</t>
  </si>
  <si>
    <t>IT87-MA-R5</t>
  </si>
  <si>
    <t>Cumul frais de trust building du mois de Mai 2025/ IT87</t>
  </si>
  <si>
    <t>IT87-MA-D2</t>
  </si>
  <si>
    <t>IT87-CONGO Frais d'hôtel Akoua du 26 au 28/05/2025 à Etoumbi (02 nuitées)</t>
  </si>
  <si>
    <t>IT87-MA-R6</t>
  </si>
  <si>
    <t>IT87-MA-R7</t>
  </si>
  <si>
    <t>Achat billet Makoua - Brazzaville/ IT87</t>
  </si>
  <si>
    <t>IT87-MA-R8</t>
  </si>
  <si>
    <t>IT87-CONGO Frais d'hôtel  du 28 au 29/05/2025 à Makoua (01 nuitée)</t>
  </si>
  <si>
    <t>IT87-MA-R9</t>
  </si>
  <si>
    <t>Cumul frais de transport local du mois de Mai 2025/ IT87</t>
  </si>
  <si>
    <t>IT87-MA-D3</t>
  </si>
  <si>
    <t>IT87-MA-R10</t>
  </si>
  <si>
    <t>IT87-MA-R11</t>
  </si>
  <si>
    <t>Achat billet Brazzaville-kimongo/ P29</t>
  </si>
  <si>
    <t>P29-MA-R1</t>
  </si>
  <si>
    <t>P29 - CONGO Ration  du 03 au 10/05/2025 à  (07 Nuitées)</t>
  </si>
  <si>
    <t>P29-MA-D1</t>
  </si>
  <si>
    <t>P29 -CONGO Frais d'hotel du 03 au 06/05/2025 à Kimongo</t>
  </si>
  <si>
    <t>P29-MA-R2</t>
  </si>
  <si>
    <t>Achat billet kimongo-dibeni/P29</t>
  </si>
  <si>
    <t>P29-MA-R3</t>
  </si>
  <si>
    <t>P29 -CONGO Frais d'hotel du 06 au 08/05/2025 à Dibeni</t>
  </si>
  <si>
    <t>P29-MA-R4</t>
  </si>
  <si>
    <t>Achat billet dibeni-dolisie/P29</t>
  </si>
  <si>
    <t>P29-MA-R5</t>
  </si>
  <si>
    <t>Achat billet dolisie-Brazzaville/P29</t>
  </si>
  <si>
    <t>P29-MA-R6</t>
  </si>
  <si>
    <t>P29 -CONGO Frais d'hotel du 08 au 10/05/2025 à Dolisie</t>
  </si>
  <si>
    <t>P29-MA-R7</t>
  </si>
  <si>
    <t>Achat billet Brazzaville- Impfondo/P29</t>
  </si>
  <si>
    <t>P29-MA-R8</t>
  </si>
  <si>
    <t>P29 - CONGO Ration  du 15/05 au 05 /06/2025 à  (21 Nuitées)</t>
  </si>
  <si>
    <t>P29-MA-D2</t>
  </si>
  <si>
    <t>P29 -CONGO Frais d'hotel du 15 au 16/05/2025 à ouesso</t>
  </si>
  <si>
    <t>P29-MA-R9</t>
  </si>
  <si>
    <t>Achat billet Impfondo-Epena/P29</t>
  </si>
  <si>
    <t>P29-MA-R10</t>
  </si>
  <si>
    <t>Achat billet Epena-Impfondo/P29</t>
  </si>
  <si>
    <t>P29-MA-R11</t>
  </si>
  <si>
    <t>P29-MA-R12</t>
  </si>
  <si>
    <t>P29-MA-R13</t>
  </si>
  <si>
    <t>P29 -CONGO Frais d'hotel du 16 au 26/05/2025 à impfondo</t>
  </si>
  <si>
    <t>P29-MA-R14</t>
  </si>
  <si>
    <t>Cumul frais de transport local du mois de Mai 2025/P29</t>
  </si>
  <si>
    <t>P29-MA-D3</t>
  </si>
  <si>
    <t>Location véhicule pour extraction Impfondo-Enyelle/P29</t>
  </si>
  <si>
    <t>P29-MA-R15</t>
  </si>
  <si>
    <t>Cumul frais de trust building du mois de Mai 2025/P29</t>
  </si>
  <si>
    <t>P29-MA-D4</t>
  </si>
  <si>
    <t>P29 -CONGO Frais d'hotel du 25 au 28/05/2025 à Impfondo lieu op(P29) (03 Nuitées)</t>
  </si>
  <si>
    <t>P29-MA-R16</t>
  </si>
  <si>
    <t>P29 -CONGO Frais d'hotel du 25 au 28/05/2025 à Impfondo lieu op(Crépin) (03 Nuitées)</t>
  </si>
  <si>
    <t>P29-MA-R17</t>
  </si>
  <si>
    <t>P29 -CONGO Frais d'hotel du 27 au 31/05/2025 à  enyelle (04 Nuitées)</t>
  </si>
  <si>
    <t>P29-MA-R18</t>
  </si>
  <si>
    <t>P29-MA-R19</t>
  </si>
  <si>
    <t>P29-MA-R20</t>
  </si>
  <si>
    <t>P29-MA-R21</t>
  </si>
  <si>
    <t>P29-MA-R22</t>
  </si>
  <si>
    <t>P29-MA-R23</t>
  </si>
  <si>
    <t>P29-MA-R24</t>
  </si>
  <si>
    <t>achat billet : brazzaville - Pointe noire/T73</t>
  </si>
  <si>
    <t>T73-MA-R1</t>
  </si>
  <si>
    <t>T73-CONGO Ration  du 03 au 10 /05/2025  à Pointe Noire, Madingo Kayes</t>
  </si>
  <si>
    <t>T73-MA-D1</t>
  </si>
  <si>
    <t>T73 - CONGO Frais d'hotel du 03 au 06/05/2025  à Pointe noire (03 Nuitées)</t>
  </si>
  <si>
    <t>T73-MA-R2</t>
  </si>
  <si>
    <t>Achat billet Pointe noire - Madingo kaye/T73</t>
  </si>
  <si>
    <t>T73-MA-R3</t>
  </si>
  <si>
    <t>T73 - CONGO Frais d'hotel du 06 au 08/05/2025  à Madingo kayes(02 Nuitées)</t>
  </si>
  <si>
    <t>T73-MA-R4</t>
  </si>
  <si>
    <t>Achat billet  Madingo kaye - Pounga/ T73</t>
  </si>
  <si>
    <t>T73-MA-R5</t>
  </si>
  <si>
    <t>T73 - CONGO Frais d'hotel du 06 au 08/05/2025 à Pounga (02 Nuitées)</t>
  </si>
  <si>
    <t>T73-MA-R6</t>
  </si>
  <si>
    <t>Achat billet  Pounga - Brazzaville/T73</t>
  </si>
  <si>
    <t>T73-MA-R7</t>
  </si>
  <si>
    <t>Achat billet  Brazzaville - Impfondo/T73</t>
  </si>
  <si>
    <t>T73-MA-R8</t>
  </si>
  <si>
    <t>T73-CONGO Ration du 15 au 05 /06/2025 à Impfondo</t>
  </si>
  <si>
    <t>T73-MA-D2</t>
  </si>
  <si>
    <t>T73 - CONGO Frais d'hotel du 15 au 16/05/2025 à Ouesso (01 Nuitée)</t>
  </si>
  <si>
    <t>T73-MA-R9</t>
  </si>
  <si>
    <t>T73 - CONGO Frais d'hotel du 17 au 20/05/2025  à Impfondo (03 nuitée)</t>
  </si>
  <si>
    <t>T73-MA-R10</t>
  </si>
  <si>
    <t>Achat billet  Impfondo - Dangou/T73</t>
  </si>
  <si>
    <t>T73-MA-R11</t>
  </si>
  <si>
    <t>Cumul frais de trust building du mois de Mai 2025/T73</t>
  </si>
  <si>
    <t>T73-MA-D3</t>
  </si>
  <si>
    <t>T73 - CONGO Frais d'hotel du 20 au 22/05/2025 à Dangou (02 Nuitées)</t>
  </si>
  <si>
    <t>T73-MA-R12</t>
  </si>
  <si>
    <t>Achat billet Dangou - impfondo/T73</t>
  </si>
  <si>
    <t>T73-MA-R13</t>
  </si>
  <si>
    <t>Achat billet Impfondo - Epena/T73</t>
  </si>
  <si>
    <t>T73-MA-R14</t>
  </si>
  <si>
    <t>Achat billet Epena - Impfondo/T73</t>
  </si>
  <si>
    <t>T73-MA-R15</t>
  </si>
  <si>
    <t>T73 - CONGO Frais d'hotel du 22 au 27/05/20225 (05 nuitées) à Impfondo</t>
  </si>
  <si>
    <t>T73-MA-R16</t>
  </si>
  <si>
    <t>Cumul frais de transport local du mois de Mai 2025/T73</t>
  </si>
  <si>
    <t>T73-MA-D4</t>
  </si>
  <si>
    <t>T73-MA-R17</t>
  </si>
  <si>
    <t>T73-MA-R18</t>
  </si>
  <si>
    <t>T73-MA-R19</t>
  </si>
  <si>
    <t>Achat billet Brazzaville - loudima /G12</t>
  </si>
  <si>
    <t>G12-MA-R1</t>
  </si>
  <si>
    <t>G12-CONGO Rations du 03 au 10 /05/2025 à Sibiti, Zanaga et Loudima</t>
  </si>
  <si>
    <t>G12-MA-D1</t>
  </si>
  <si>
    <t>Achat billet Loudima - Sibiti /G12</t>
  </si>
  <si>
    <t>G12-MA-R2</t>
  </si>
  <si>
    <t>G12-CONGO Frais d'hôtel du 03 au 06 /05/2025 à SIBITI (03 Nuitées)</t>
  </si>
  <si>
    <t>G12-MA-R3</t>
  </si>
  <si>
    <t>Achat billet Sibiti - Zanaga /G12</t>
  </si>
  <si>
    <t>G12-MA-R4</t>
  </si>
  <si>
    <t>G12-CONGO Frais d'hotel du 06 au 08 /05/2025 à Zanaga (02 Nuitées)</t>
  </si>
  <si>
    <t>G12-MA-R5</t>
  </si>
  <si>
    <t>Achat billet Zanaga - Sibiti/G12</t>
  </si>
  <si>
    <t>G12-MA-R6</t>
  </si>
  <si>
    <t>Achat bilet Sibiti - Loudima/G12</t>
  </si>
  <si>
    <t>G12-MA-R7</t>
  </si>
  <si>
    <t>G12-CONGO Frais d'hotel du 08 au 10 /05/2025 à Loudima (02 Nuitées)</t>
  </si>
  <si>
    <t>G12-MA-R8</t>
  </si>
  <si>
    <t>Achat billet Loudima - Brazzaville/G12</t>
  </si>
  <si>
    <t>G12-MA-R9</t>
  </si>
  <si>
    <t>Achat billet  Brazzaville - Ouesso/G12</t>
  </si>
  <si>
    <t>G12-MA-R10</t>
  </si>
  <si>
    <t xml:space="preserve">G12-CONGO Rations du 15 au 23/05/2025 à Ouesso, Pokola </t>
  </si>
  <si>
    <t>G12-MA-D2</t>
  </si>
  <si>
    <t>G12-CONGO Frais d'hôtel du 15 /05/2025 au 19/05/2025 à Ouesso (04 Nuitées)</t>
  </si>
  <si>
    <t>G12-MA-R11</t>
  </si>
  <si>
    <t>Achat billet  Ouesso - Pokola/ G12</t>
  </si>
  <si>
    <t>G12-MA-R12</t>
  </si>
  <si>
    <t>G12-CONGO Frais d'hôtel du 19/05/2025 au 21/05/2025 à Pokola (02 Nuitées)</t>
  </si>
  <si>
    <t>G12-MA-R13</t>
  </si>
  <si>
    <t>Achat billet   Pokola - Ouesso/G12</t>
  </si>
  <si>
    <t>G12-MA-R14</t>
  </si>
  <si>
    <t>Achat billet  Ouesso - Mokeko/G12</t>
  </si>
  <si>
    <t>G12-MA-R15</t>
  </si>
  <si>
    <t>achat billet  Mokeko - Ouesso/G12</t>
  </si>
  <si>
    <t>G12-MA-R16</t>
  </si>
  <si>
    <t>Achat billet Ouesso - Brazzaville/G12</t>
  </si>
  <si>
    <t>G12-MA-R17</t>
  </si>
  <si>
    <t>G12-CONGO Frais d'hôtel du 21 /05/2025 au 23/05/2025 à Ouesso (02 Nuitées)</t>
  </si>
  <si>
    <t>G12-MA-R18</t>
  </si>
  <si>
    <t>Cumul Frais de trust building du mois de Mai 2025/G12</t>
  </si>
  <si>
    <t>G12-MA-D3</t>
  </si>
  <si>
    <t>Cumul frais de transport local du mois de Mai 2025/G12</t>
  </si>
  <si>
    <t>G12-MA-D4</t>
  </si>
  <si>
    <t>G12-MA-R19</t>
  </si>
  <si>
    <t>G12-MA-R20</t>
  </si>
  <si>
    <t>G12-MA-R21</t>
  </si>
  <si>
    <t>G12-MA-R22</t>
  </si>
  <si>
    <t>DH-MA-R2</t>
  </si>
  <si>
    <t>Règlement loyer/Avril 2025 (Coordinateur)</t>
  </si>
  <si>
    <t>DH-MA-R1</t>
  </si>
  <si>
    <t>DH-MA-R3</t>
  </si>
  <si>
    <t>Cumul frais de transport local du mois de Mai 2025/DOVI</t>
  </si>
  <si>
    <t>DH-MA-D1</t>
  </si>
  <si>
    <t>DH-MA-R4</t>
  </si>
  <si>
    <t>CA-MA-D7</t>
  </si>
  <si>
    <t>CR-MA-R12</t>
  </si>
  <si>
    <t>CR-MA-R13</t>
  </si>
  <si>
    <t>Bonus du mois de Avril 2025/Crépin</t>
  </si>
  <si>
    <t>Achat billet Brazzaville-Impfondo/ Crepin</t>
  </si>
  <si>
    <t>CR-MA-R1</t>
  </si>
  <si>
    <t>CREPIN-CONGO Ration  du 15/05/ au 04/06/2025 à Ouesso et Impfondo</t>
  </si>
  <si>
    <t>CR-MA-D1</t>
  </si>
  <si>
    <t>CR-MA-R14</t>
  </si>
  <si>
    <t>CR-MA-R15</t>
  </si>
  <si>
    <t xml:space="preserve"> CREPIN-CONGO Frais d'hotel  à Ouesso du 15 au 16/05/2025 (01 Nuitée)</t>
  </si>
  <si>
    <t>CR-MA-R2</t>
  </si>
  <si>
    <t>CREPIN-CONGO Frais d'hôtel  du 16 au 26/05/2025 à Impfondo (10 Nuites)/Crepin</t>
  </si>
  <si>
    <t>CR-MA-R3</t>
  </si>
  <si>
    <t>Raffraichissements pendant l'attente de l'opération avec 04 gendarmes en civile</t>
  </si>
  <si>
    <t>CR-MA-R4</t>
  </si>
  <si>
    <t>Raffraichissement pendant la mission sur EPENA</t>
  </si>
  <si>
    <t>CR-MA-R5</t>
  </si>
  <si>
    <t>Ration pendant la mission sur EPENA  avec 10 gendarmes, Evariste et Roméo</t>
  </si>
  <si>
    <t>CR-MA-R6</t>
  </si>
  <si>
    <t>Achat de 100 litres de carburant aller et retour Impfondo-EPENA</t>
  </si>
  <si>
    <t>Bonus pour 03 gendarmes d'EPENA ayant aidé pour l'interpellation de Parfait</t>
  </si>
  <si>
    <t>Bonus de 16 gendarmes ayant participé à l'opération d'Impfondo, le 27/05/2025</t>
  </si>
  <si>
    <t>CR-MA-R9</t>
  </si>
  <si>
    <t>Bonus de 10 gendarmes ayant effectué la mission d'EPENA le 27/05/2025</t>
  </si>
  <si>
    <t>CR-MA-R10</t>
  </si>
  <si>
    <t>Bonus de 02 EF pour l'opération du 27/05/2025 à Impfondo</t>
  </si>
  <si>
    <t>CR-MA-R11</t>
  </si>
  <si>
    <t xml:space="preserve">Cumul frais de transport local du mois de Mai 2025/Crepin </t>
  </si>
  <si>
    <t>CR-MA-D2</t>
  </si>
  <si>
    <t>CR-MA-R16</t>
  </si>
  <si>
    <t>CR-MA-R17</t>
  </si>
  <si>
    <t>CA-MA-R1</t>
  </si>
  <si>
    <t>CA-MA-D2</t>
  </si>
  <si>
    <t>CA-MA-R5</t>
  </si>
  <si>
    <t>CA-MA-R14</t>
  </si>
  <si>
    <t>CA-MA-R15</t>
  </si>
  <si>
    <t>CA-MA-R16</t>
  </si>
  <si>
    <t>CA-MA-R17</t>
  </si>
  <si>
    <t>CA-MA-R19</t>
  </si>
  <si>
    <t>CA-MA-R21</t>
  </si>
  <si>
    <t>CA-MA-R22</t>
  </si>
  <si>
    <t>CA-MA-R25</t>
  </si>
  <si>
    <t>CA-MA-R26</t>
  </si>
  <si>
    <t>CA-MA-R27</t>
  </si>
  <si>
    <t>CA-MA-R29</t>
  </si>
  <si>
    <t>Bonus du mois d'Avril 2025/Parfaite</t>
  </si>
  <si>
    <t>P-MA-R1</t>
  </si>
  <si>
    <t>P-MA-R2</t>
  </si>
  <si>
    <t>Cumul frais de transport local du mois de Mai 2025/ Parfaite</t>
  </si>
  <si>
    <t>P-MA-D1</t>
  </si>
  <si>
    <t>P-MA-R3</t>
  </si>
  <si>
    <t>CA-MA-R2</t>
  </si>
  <si>
    <t>CA-MA-D5</t>
  </si>
  <si>
    <t>CA-MA-R8</t>
  </si>
  <si>
    <t>CA-MA-R10</t>
  </si>
  <si>
    <t>CA-MA-R18</t>
  </si>
  <si>
    <t>CA-MA-R24</t>
  </si>
  <si>
    <t>CA-MA-R28</t>
  </si>
  <si>
    <t>AB-MA-R3</t>
  </si>
  <si>
    <t>AB-MA-R4</t>
  </si>
  <si>
    <t>AB-MA-R5</t>
  </si>
  <si>
    <t>AB-MA-R6</t>
  </si>
  <si>
    <t>Achat billet Brazzaville-Dolisie/Abraham</t>
  </si>
  <si>
    <t>AB-MA-R1</t>
  </si>
  <si>
    <t>ABRAHAM - CONGO Ration du 21 au 23/05/2025 à Dolisie (02 Nuitées)</t>
  </si>
  <si>
    <t>AB-MA-D1</t>
  </si>
  <si>
    <t>Achat billet Dolisie-Brazzaville /Abraham</t>
  </si>
  <si>
    <t>AB-MA-R2</t>
  </si>
  <si>
    <t>Cumul frais de Jail visits du mois de Mai 2025/ Abraham</t>
  </si>
  <si>
    <t>AB-MA-D2</t>
  </si>
  <si>
    <t>ABRAHAM - CONGO frais d'Hôtel  du 21 au 23/05/2025 à Dolisie (02 Nuitées)</t>
  </si>
  <si>
    <t>AB-MA-R7</t>
  </si>
  <si>
    <t>AB-MA-R8</t>
  </si>
  <si>
    <t>Cumul frais de transport local du mois de Mai 2025/ Abraham</t>
  </si>
  <si>
    <t>AB-MA-D3</t>
  </si>
  <si>
    <t>CA-MA-D3</t>
  </si>
  <si>
    <t>CA-MA-R11</t>
  </si>
  <si>
    <t>CA-MA-R20</t>
  </si>
  <si>
    <t>Bonus du mois d'Avril 2025/Romain</t>
  </si>
  <si>
    <t>CA-MA-D6</t>
  </si>
  <si>
    <t>CA-MA-R6</t>
  </si>
  <si>
    <t>CA-MA-R7</t>
  </si>
  <si>
    <t>CA-MA-R23</t>
  </si>
  <si>
    <t>RO-MA-R6</t>
  </si>
  <si>
    <t>RO-MA-R7</t>
  </si>
  <si>
    <t>Achat billet Brazzaville-Loudima/ Roderlin</t>
  </si>
  <si>
    <t>RO-MA-R1</t>
  </si>
  <si>
    <t>RO-MA-R2</t>
  </si>
  <si>
    <t>RODERLIN-CONGO Ration du 21 au 23/05/2025 à Sibiti (02 nuitées)</t>
  </si>
  <si>
    <t>RO-MA-D1</t>
  </si>
  <si>
    <t>Cumul Frais de Jail visits du mois de Mai 2025/Roderlin</t>
  </si>
  <si>
    <t>RO-MA-D2</t>
  </si>
  <si>
    <t>RODERLIN-CONGO frais d'hôtel du 21 au 23/05/2025 à Sibiti (02 nuitées)</t>
  </si>
  <si>
    <t>RO-MA-R3</t>
  </si>
  <si>
    <t>RO-MA-R4</t>
  </si>
  <si>
    <t>Achat billet Nkayi-Brazzaville/ Roderlin</t>
  </si>
  <si>
    <t>RO-MA-R5</t>
  </si>
  <si>
    <t>Cumul Frais de transport local  du mois de Mai 2025/Roderlin</t>
  </si>
  <si>
    <t>RO-MA-D3</t>
  </si>
  <si>
    <t>RO-MA-R8</t>
  </si>
  <si>
    <t>DR-MA-R9</t>
  </si>
  <si>
    <t>DR-MA-R1</t>
  </si>
  <si>
    <t>DONALD-ROMEO/ CONGO Ration  du  07 au 10/05/2025 à Dolisie</t>
  </si>
  <si>
    <t>DR-MA-D1</t>
  </si>
  <si>
    <t>Achat billet Dolisie-Brazzaville/Donald-Roméo</t>
  </si>
  <si>
    <t>DR-MA-R2</t>
  </si>
  <si>
    <t>DONALD-ROMEO/CONGO Frais d'hôtel du 07 au 10/05/2025 à Dolisie (03 Nuitées)</t>
  </si>
  <si>
    <t>DR-MA-R3</t>
  </si>
  <si>
    <t>Achat billet Brazzaville-Impfondo/Donald-Roméo</t>
  </si>
  <si>
    <t>DR-MA-R4</t>
  </si>
  <si>
    <t>DONALD-ROMEO/CONGO Ration  du  15/05 au 04/06/2025 à Ouesso/ Impfondo</t>
  </si>
  <si>
    <t>DR-MA-D2</t>
  </si>
  <si>
    <t>DR-MA-R10</t>
  </si>
  <si>
    <t>Frais d'hôtel/  01 Nuitée du 15 au 16/05/2025 à Ouesso (Hôtel  Divine)</t>
  </si>
  <si>
    <t>DR-MA-R5</t>
  </si>
  <si>
    <t>Frais d'impression de la photo et du mandat</t>
  </si>
  <si>
    <t>Court Fees</t>
  </si>
  <si>
    <t>DR-MA-R6</t>
  </si>
  <si>
    <t>DR-MA-R7</t>
  </si>
  <si>
    <t>Raffraichissement OP  à Impfondo/10  gendarmes et moi</t>
  </si>
  <si>
    <t>DR-MA-R8</t>
  </si>
  <si>
    <t>DR-MA-R11</t>
  </si>
  <si>
    <t>cumul frais de Jail visits du mois de Mai 2025/Donald-Romeo</t>
  </si>
  <si>
    <t>DR-MA-D3</t>
  </si>
  <si>
    <t>Cumul frais de transport local du mois de Mai 2025/Donald-Romeo</t>
  </si>
  <si>
    <t>DR-MA-D4</t>
  </si>
  <si>
    <t>COMPTA Romain-Juriste</t>
  </si>
  <si>
    <t>COMPTA Donald-Roméo - Juriste</t>
  </si>
  <si>
    <t>CA-MA-D1</t>
  </si>
  <si>
    <t>CA-MA-D8</t>
  </si>
  <si>
    <t>Achat Billet Brazzaville-Impfondo/ Evariste</t>
  </si>
  <si>
    <t>EV-MA-R1</t>
  </si>
  <si>
    <t>EVARISTE-CONGO Ration du 22 mai au 04 juin 2025 à d'Impfondo ( 13 nuitées )</t>
  </si>
  <si>
    <t>EV-MA-D1</t>
  </si>
  <si>
    <t>EVARISTE-CONGO Frais de l'hôtel à Ouesso du 22 au 23 mai 2025 (Une nuitée)</t>
  </si>
  <si>
    <t>EV-MA-R2</t>
  </si>
  <si>
    <t xml:space="preserve">EVARISTE-CONGO Frais  d'hôtel  du 23 au 24 mai 2025 à Enyellé (Une nuitée) </t>
  </si>
  <si>
    <t>EV-MA-R3</t>
  </si>
  <si>
    <t>EV-MA-R4</t>
  </si>
  <si>
    <t>Cumul frais de transport local du mois de Mai 2025/ Evariste</t>
  </si>
  <si>
    <t>EV-MA-D2</t>
  </si>
  <si>
    <t>EV-MA-R5</t>
  </si>
  <si>
    <t>EV-MA-R6</t>
  </si>
  <si>
    <t>EV-MA-R7</t>
  </si>
  <si>
    <t>CA-MA-R30</t>
  </si>
  <si>
    <t>CA-MA-R31</t>
  </si>
  <si>
    <t>CA-MA-R3</t>
  </si>
  <si>
    <t>CA-MA-R12</t>
  </si>
  <si>
    <t>CA-MA-R13</t>
  </si>
  <si>
    <t>CA-MA-R4</t>
  </si>
  <si>
    <t>Bonus du mois d'Avril 2025/Abraham</t>
  </si>
  <si>
    <t>Frais de transport mission Maitre Alain à Dolisie du 21 au 23/05/2025</t>
  </si>
  <si>
    <t>Ration et frais d'hotel mission maitre Alain à Dolisie du 21 au 23/05/2025</t>
  </si>
  <si>
    <t>RM-MA-R8</t>
  </si>
  <si>
    <t>Achat billet:Brazzaville-Dolisie/ Romain</t>
  </si>
  <si>
    <t>RM-MA-R1</t>
  </si>
  <si>
    <t>ROMAIN-CONGO Ration du 07 au 10/05/2025 à Dolisie</t>
  </si>
  <si>
    <t>RM-MA-D1</t>
  </si>
  <si>
    <t>Frais d'expédition</t>
  </si>
  <si>
    <t>RM-MA-R2</t>
  </si>
  <si>
    <t>Achat billet  Dolisie-Brazzaville/ Romain</t>
  </si>
  <si>
    <t>RM-MA-R3</t>
  </si>
  <si>
    <t>ROMAIN-CONGO Frais d'Hotel du 07 au 10/05/2025 à Dolisie (03nuitées)</t>
  </si>
  <si>
    <t>RM-MA-R4</t>
  </si>
  <si>
    <t>RM-MA-R9</t>
  </si>
  <si>
    <t>Achat billet Brazzaville-Owando/ Romain</t>
  </si>
  <si>
    <t>RM-MA-R5</t>
  </si>
  <si>
    <t>ROMAIN-CONGO  Ration du 21 au 23/05/2025 à Owando</t>
  </si>
  <si>
    <t>RM-MA-D2</t>
  </si>
  <si>
    <t>Achat billet  Owando-Brazzaville/ Romain</t>
  </si>
  <si>
    <t>RM-MA-R6</t>
  </si>
  <si>
    <t>cumul frais de Jail visits du mois de Mai 2025/Romain</t>
  </si>
  <si>
    <t>RM-MA-D3</t>
  </si>
  <si>
    <t>ROMAIN-CONGO Frais d'hotel du 21 au 23 Mai 2025 à Owando (02 Nuitées)</t>
  </si>
  <si>
    <t>RM-MA-R7</t>
  </si>
  <si>
    <t>Cumul frais de transport local du mois de Mai 2025/Romain</t>
  </si>
  <si>
    <t>RM-MA-D4</t>
  </si>
  <si>
    <t>RM-MA-R10</t>
  </si>
  <si>
    <t>CA-MA-D4</t>
  </si>
  <si>
    <t>BQ-MA-R13</t>
  </si>
  <si>
    <t>BQ-MA-R1</t>
  </si>
  <si>
    <t>BQ-MA-R2</t>
  </si>
  <si>
    <t>BQ-MA-R14</t>
  </si>
  <si>
    <t>BQ-MA-R12</t>
  </si>
  <si>
    <t>BQ-MA-G1</t>
  </si>
  <si>
    <t>BQ-MA-R3</t>
  </si>
  <si>
    <t>BQ-MA-R4</t>
  </si>
  <si>
    <t>BQ-MA-R5</t>
  </si>
  <si>
    <t>BQ-MA-R6</t>
  </si>
  <si>
    <t>BQ-MA-R7</t>
  </si>
  <si>
    <t>BQ-MA-R8</t>
  </si>
  <si>
    <t>BQ-MA-R9</t>
  </si>
  <si>
    <t>BQ-MA-R10</t>
  </si>
  <si>
    <t>BQ-MA-R15</t>
  </si>
  <si>
    <t>BQ-MA-R16</t>
  </si>
  <si>
    <t>BQ-MA-R17</t>
  </si>
  <si>
    <t>BQ-MA-R11</t>
  </si>
  <si>
    <t>Bonus du mois de d'avril 2025/Roderlin</t>
  </si>
  <si>
    <t>Bonus du mois d'Avril 2025/Donal-Roméo</t>
  </si>
  <si>
    <t>(vide)</t>
  </si>
  <si>
    <t>Parfaire BAVOUMINA</t>
  </si>
  <si>
    <t>Étiquettes de colonnes</t>
  </si>
  <si>
    <t>Somme de distributed</t>
  </si>
  <si>
    <t>G12-MA-R23</t>
  </si>
  <si>
    <t>Phone credit</t>
  </si>
  <si>
    <t>CA-MA-R9</t>
  </si>
  <si>
    <t>Reglement prestation de nettoyage  PALF du mois d'Avril 2025</t>
  </si>
  <si>
    <t>Wildcat 2024</t>
  </si>
  <si>
    <t>Wildcat 2025</t>
  </si>
  <si>
    <t>Reglement honoraire du mois de Mai 2025/IT87/3654878</t>
  </si>
  <si>
    <t>Reglement Facture Gardiennage Mois de Mai 2025/3654876</t>
  </si>
  <si>
    <t>Reglement loyer du mois de Mai 2025/3654864</t>
  </si>
  <si>
    <t>Reglement honoraire du mois de de Mai 2025/P29/3654880</t>
  </si>
  <si>
    <t>Reglement honoraire du mois de Mai 2025/T73/3654881</t>
  </si>
  <si>
    <t>Paiement salaire du mois de Mai 2025/LOUNDOU JeanRomain/3654891</t>
  </si>
  <si>
    <t>Acompte honoraire contrat N°84 Impfondo cas MBEKELE, MOUANDOLA et EBOUZI/Maitre Marie Alain BAZOUNZI/ 3654883</t>
  </si>
  <si>
    <t>Solde  honoraire contrat n°78 Sibiti cas BOUTSANA et KAMBOU/ Maître BANZOUZI Alain/3654882</t>
  </si>
  <si>
    <t>Acompte honoraire contrat N°60_Brazzaville cas NZETSI BIMOKO et Consorts/Maitre Marie Hélène NANITELAMIO MALONGA/ 3654884</t>
  </si>
  <si>
    <t>Reglement loyer du mois de Juin 2025/3654885</t>
  </si>
  <si>
    <t>Frais de tansfert d'argent à  Evariste</t>
  </si>
  <si>
    <t>Frais de tansfert d'argent à  Evariste, Crepin, Romain et Donald-Roméo</t>
  </si>
  <si>
    <t>Achat fournitures de bureau marqueurs, chemise cartonée, enveloppe , facturier/Bureau PALF</t>
  </si>
  <si>
    <t>Frais de transport mission Maitre Alain à Impfondo du 01 au 15/06/2025</t>
  </si>
  <si>
    <t>Ration et frais d'hotel mission maitre Alain à Impfondo du 01 au 15/06/2025</t>
  </si>
  <si>
    <t>Frais de tansfert d'argent à Romain et Me Alain</t>
  </si>
  <si>
    <t>Frais de tansfert d'argent à Roderlin</t>
  </si>
  <si>
    <t>Bonus du mois de Mai 2025/Abraham</t>
  </si>
  <si>
    <t>Frais de tansfert d'argent à Crépin et Donald-Roméo</t>
  </si>
  <si>
    <t>Bonus du mois de Mai 2025/Evariste</t>
  </si>
  <si>
    <t>Bonus opération du 27/05/2025 à Impfondo/Evariste</t>
  </si>
  <si>
    <t>Bonus du mois de Mai 2025/Romain</t>
  </si>
  <si>
    <t>CA-J-D6</t>
  </si>
  <si>
    <t>CA-J-D7</t>
  </si>
  <si>
    <t>Achat de 02 petit telephone bureau PALF</t>
  </si>
  <si>
    <t>Bonus du mois de Mai 2025/Parfaite</t>
  </si>
  <si>
    <t>CA-J-D8</t>
  </si>
  <si>
    <t>Frais de tansfert d'argent à Roderlin et Abraham</t>
  </si>
  <si>
    <t>Bonus du mois de Mai 2025/Crepin</t>
  </si>
  <si>
    <t>CA-J-D9</t>
  </si>
  <si>
    <t>Bonus operation du 27/05/2025 à Impfondo/Crepin</t>
  </si>
  <si>
    <t>CA-J-D10</t>
  </si>
  <si>
    <t>Bonus du mois de Mai 2025/Donald-Roméo</t>
  </si>
  <si>
    <t>CA-J-D11</t>
  </si>
  <si>
    <t>Bonus operation du 27/05/2025 à Impfondo/Donald-Roméo</t>
  </si>
  <si>
    <t>CA-J-D12</t>
  </si>
  <si>
    <t>Bonus du mois de Mai 2025/Roderlin</t>
  </si>
  <si>
    <t>CA-J-D13</t>
  </si>
  <si>
    <t>Frais de transport mission Maitre Alain à Dolisie du 18 au 20/06/2025</t>
  </si>
  <si>
    <t>Ration et frais d'hotel mission maitre Alain à Dolisie du 18 au 20/06/2025</t>
  </si>
  <si>
    <t>CA-J-D14</t>
  </si>
  <si>
    <t>Frais de transport mission Maitre Alain à Impfondo du 22 au 29/06/2025</t>
  </si>
  <si>
    <t>Ration et frais d'hotel mission maitre Alain à Impfondo du 22 au 29/06/2025</t>
  </si>
  <si>
    <t>Maintenance groupe electrogène bureau PALF</t>
  </si>
  <si>
    <t>Frais de tansfert d'argent à Donald roméo</t>
  </si>
  <si>
    <t>Rent et Utilities</t>
  </si>
  <si>
    <t>Reglement prestation de nettoyage  PALF du mois de Juin 2025</t>
  </si>
  <si>
    <t>Reglement facture internet periode du 01/07 au 31/07/2025 bureau PALF</t>
  </si>
  <si>
    <t>Règlement Loyer Mai 2025/Coordinateur</t>
  </si>
  <si>
    <t>Credit telephonique MTN PALF/Deuxième partie du mois de Juin 2025/DOVI</t>
  </si>
  <si>
    <t>Cumul frais de transport local du mois de Juin 2025/DOVI</t>
  </si>
  <si>
    <t>CREPIN-CONGO Ration du 04 au 15/06/2025 à Impfondo</t>
  </si>
  <si>
    <t>Achat Billet Impfondo-Brazzaville/ Crepin</t>
  </si>
  <si>
    <t xml:space="preserve"> Crepin-CONGO Frais d'hôtel du 27/05 au 13/06 2025  à Impfondo (17 Nuitées)</t>
  </si>
  <si>
    <t>Crépin-CONGO Frais d'hôtel du 13 au 14/06/2025 à Enyele (01 nuitée)</t>
  </si>
  <si>
    <t>Frais d'Hôtel, Crépin-CONGO Frais d'hôtel du 14 au 15/06/2025 à Oyo (01 Nuitée )</t>
  </si>
  <si>
    <t>Credit teléphonique MTN PALF/Deuxième partie du mois de Juin 2025/Crepin</t>
  </si>
  <si>
    <t>Credit teléphonique AIRTEL PALF/Deuxième partie du mois de Juin 2025/Crepin</t>
  </si>
  <si>
    <t>Cumul frais de transport local du mois de Juin 2025/Crepin</t>
  </si>
  <si>
    <t>Credit teléphonique MTN PALF/Deuxième partie du mois de Juin 2025/ Parfaite</t>
  </si>
  <si>
    <t>P-J-R1</t>
  </si>
  <si>
    <t>Cumul frais de transport local du mois de Juin 2025/Parfaite</t>
  </si>
  <si>
    <t>P-J-D1</t>
  </si>
  <si>
    <t>Frais de ramassage Ordure Juin 2025</t>
  </si>
  <si>
    <t>Achat billet Enyele-Brazzaville/ P29</t>
  </si>
  <si>
    <t>P19-J-R1</t>
  </si>
  <si>
    <t>P29 -CONGO Frais d'hotel du 31/05 au 03/06/2025 à  enyelle (03 Nuitées)</t>
  </si>
  <si>
    <t>P19-J-R2</t>
  </si>
  <si>
    <t>P29 -CONGO Frais d'hotel du 03 au 05/06/2025 à  oyo (02 Nuitées)</t>
  </si>
  <si>
    <t>P19-J-R3</t>
  </si>
  <si>
    <t>Retour caisse/ P29</t>
  </si>
  <si>
    <t>Credit teléphonique MTN PALF/Deuxième partie du mois de Juin 2025/P29</t>
  </si>
  <si>
    <t>P19-J-R4</t>
  </si>
  <si>
    <t>credit teléphonique AIRTEL PALF/Deuxième partie du mois de Juin 2025/P29</t>
  </si>
  <si>
    <t>P19-J-R5</t>
  </si>
  <si>
    <t>Cumul frais de transport local du mois de Juin  2025/P29</t>
  </si>
  <si>
    <t>Cumul frais de trust builfing du mois de Juin  2025/P29</t>
  </si>
  <si>
    <t>T73 - CONGO Frais d'hotel du 27 au 01/06/2025 à Enyele(5nuitées)</t>
  </si>
  <si>
    <t>T73 - CONGO Frais d'hotel du 01 au 03/06/2025 à Enyele (2 nuitées)</t>
  </si>
  <si>
    <t>Achat billet : Enyele- Brazzaville/T73</t>
  </si>
  <si>
    <t>T73 - CONGO Frais d'hotel du 03 au 05/06/2025 (2 nuitées) à Oyo</t>
  </si>
  <si>
    <t>Paiement frais de formation</t>
  </si>
  <si>
    <t>Crédit teléphonique MTN PALF/Deuxième partie du mois de Juin 2025</t>
  </si>
  <si>
    <t>cumul frais de trust building du mois de Juin 2025/T73</t>
  </si>
  <si>
    <t>Cumul frais de transport local du mois de Juin 2025/T73</t>
  </si>
  <si>
    <t>Cumul frais de trust building du mois de Juin 2025/IT87</t>
  </si>
  <si>
    <t>Credit teléphonique MTN PALF / Deuxième partie du mois de Juin 2025/ IT87</t>
  </si>
  <si>
    <t>Cumul frais de transport local du mois de Juin 2025/IT87</t>
  </si>
  <si>
    <t>Credit télephonique MTN PALF/Deuxième partie du mois de Juin 2025/G12</t>
  </si>
  <si>
    <t>Credit télephonique AIRTEL PALF/Deuxième partie du mois de Juin 2025/G12</t>
  </si>
  <si>
    <t>Cumul frais de transport local du mois Juin 2025/G12</t>
  </si>
  <si>
    <t>Achat billet Brazzaville-Loudima/Abraham</t>
  </si>
  <si>
    <t>ABRAHAM - CONGO Ration du 11 au 13/06/2025 à Sibiti (02 Nuitées)</t>
  </si>
  <si>
    <t>Taxi: Loudima-Sibiti</t>
  </si>
  <si>
    <t>ABRAHAM - CONGO frais d'Hôtel (Hôtel Le Papyrus) du 11 au 14/06/2025 à Sibiti (03 Nuitées)</t>
  </si>
  <si>
    <t>Taxi: Sibiti-Nkayi</t>
  </si>
  <si>
    <t>Achat Billet Nkayi-Brazzaville</t>
  </si>
  <si>
    <t>Credit teléphonique MTN PALF/ Deuxième partie du mois de Juin 2025/ Abraham</t>
  </si>
  <si>
    <t>AB-J-R6</t>
  </si>
  <si>
    <t>Credit teléphonique AIRTEL PALF/ Deuxième partie du mois de Juin 2025/ Abraham</t>
  </si>
  <si>
    <t>AB-J-R7</t>
  </si>
  <si>
    <t>AB-J-R8</t>
  </si>
  <si>
    <t>ABRAHAM - CONGO Ration du 18 au 20/06/2025 à Dolisie (02 Nuitées)</t>
  </si>
  <si>
    <t>Cumul frais de Jail visits du mois de Juin 2025/Abraham</t>
  </si>
  <si>
    <t>AB-J-D3</t>
  </si>
  <si>
    <t>ABRAHAM - CONGO Frais d'Hôtel (Hôtel La Gloire) du 18 au 20/06/2025 à Dolisie (02 Nuitées)</t>
  </si>
  <si>
    <t>AB-J-R9</t>
  </si>
  <si>
    <t>Cumul frais de transport local du mois de Juin 2025/ Abraham</t>
  </si>
  <si>
    <t>AB-J-D4</t>
  </si>
  <si>
    <t>Frais de transport mission Maitre Helene du 04 au 06/06/2025 à Owando</t>
  </si>
  <si>
    <t>Ration et frais d'hotel mission maitre Helène du 04 au 06/06/2025 à Owando</t>
  </si>
  <si>
    <t>Achat billet Brazzaville-Owando</t>
  </si>
  <si>
    <t>RODERLIN-CONGO Ration du 04 au 06/06/2025 à Owando (02 nuitées)</t>
  </si>
  <si>
    <t xml:space="preserve">Achat billet Owando- Brazzaville </t>
  </si>
  <si>
    <t xml:space="preserve">Paiement des frais de notification de l'ordonnance de règlement definitif du cas EBI Aimé </t>
  </si>
  <si>
    <t>RODERLIN-CONGO frais d'hôtel du 04 au 06/06/2025 à Owando (02 nuitées)</t>
  </si>
  <si>
    <t>RO-J-R4</t>
  </si>
  <si>
    <t>RO-J-R5</t>
  </si>
  <si>
    <t>Frais de transport mission Maitre Hélene  du 11 au 14/06/2025 à Owando</t>
  </si>
  <si>
    <t>Ration et frais d'hotel mission maitre Hélène du 11 au 14/06/2025 à Owando</t>
  </si>
  <si>
    <t>RODERLIN-CONGO Ration du 11 au 14/06/2025 à Owando (03 nuitées)</t>
  </si>
  <si>
    <t>RO-J-R6</t>
  </si>
  <si>
    <t>RODERLIN-CONGO frais d'hôtel du 11 au 14/06/2025 à Owando (03 nuitées)</t>
  </si>
  <si>
    <t>RO-J-R7</t>
  </si>
  <si>
    <t>Credit teléphonique MTN PALF/Deuxième partie du mois de Juin 2025/Roderlin</t>
  </si>
  <si>
    <t>RO-J-R8</t>
  </si>
  <si>
    <t>RO-J-R9</t>
  </si>
  <si>
    <t>RODERLIN-CONGO Ration du 24 au 26/06/2025 à Owando (02 nuitées)</t>
  </si>
  <si>
    <t>Frais de transport mission Maitre Hélene  du 25 au 27/06/2025 à Owando</t>
  </si>
  <si>
    <t>Ration et frais d'hotel mission maitre Hélène  du 25 au 27/06/2025 à Owando</t>
  </si>
  <si>
    <t>RO-J-R10</t>
  </si>
  <si>
    <t>cumul frais de Jail visits du mois de Juin 2025/Roderlin</t>
  </si>
  <si>
    <t>RO-J-D4</t>
  </si>
  <si>
    <t>RODERLIN-CONGO Frais d'hôtel du 25 au 27/06/2025 à Owando (02 nuitées)</t>
  </si>
  <si>
    <t>RO-J-R11</t>
  </si>
  <si>
    <t>Cumul frais de transport local du mois de Juin 2025/Roderlin</t>
  </si>
  <si>
    <t>RO-J-D5</t>
  </si>
  <si>
    <t>Achat Billet Brazzaville-Impfondo/ Romain</t>
  </si>
  <si>
    <t>ROMAIN-CONGO: Ration du 01 au 08/2025 à Impfondo</t>
  </si>
  <si>
    <t>Romain-CONGO: Frais d'hotel du 01 au 02/06/2025 à Ouesso (01 Nuitée)</t>
  </si>
  <si>
    <t>Romain-CONGO: Frais d'hotel du 02 au 03/06/2025 à Enyele (01 Nuitée)</t>
  </si>
  <si>
    <t>Achat billet Impfondo- Brazzaville/ Romain</t>
  </si>
  <si>
    <t>Romain-CONGO: Frais d'hotel du 03 au 06/06/2025 à Impfondo (03 Nuitée)</t>
  </si>
  <si>
    <t>ROMAIN-CONGO: Frais d'hotel  du 06 au 07/06/2025 à Enyele (01nuitées)</t>
  </si>
  <si>
    <t>RM-J-R6</t>
  </si>
  <si>
    <t>ROMAIN-CONGO: Frais d'hotel  du 07 au 08/06/2025 Gamboma (01nuitées)</t>
  </si>
  <si>
    <t>Cumul frais de transport local du mois de Juin 2025/Romain</t>
  </si>
  <si>
    <t>Prime du 13 eme Mois 2024/Romain</t>
  </si>
  <si>
    <t>Donald-Roméo-CONGO Ration du 04 au 15/06/2025 à Impfondo</t>
  </si>
  <si>
    <t>Achat billet Impfondo-Brazzaville/Donald-Roméo</t>
  </si>
  <si>
    <t>Donald Roméo-CONGO Frais d'hôtel du 16/05 au 13/06/2025 à Impfondo ( 28 Nuitées )</t>
  </si>
  <si>
    <t>Donald Roméo- CONGO Frais d'hôtel du 13 au 14/06/2025 à Enyele ( 01 Nuitée)</t>
  </si>
  <si>
    <t>Donald Roméo- CONGO Frais d'hôtel du 14 au 15/06/2025 à Oyo  01 Nuitée)</t>
  </si>
  <si>
    <t>Credit teléphonique MTN PALF/Dexième partie du mois de Juin 2025/Donald-Roméo</t>
  </si>
  <si>
    <t>DR-J-R6</t>
  </si>
  <si>
    <t>Achat billet Brazzaville-Imfondo/Donald-Roméo</t>
  </si>
  <si>
    <t>DR-J-R7</t>
  </si>
  <si>
    <t>Donald Roméo-CONGO Ration  du  22 au 29/06/2025 à Impfondo</t>
  </si>
  <si>
    <t>Donald Roméo-CONGO Frais d'hôtel du 22 au 23/06/2025 à Ouesso (  01 Nuitée)</t>
  </si>
  <si>
    <t>DR-J-R8</t>
  </si>
  <si>
    <t>Donald Roméo-CONGO Frais d'hôtedu 23 au 24/06/2025 à Enyele (  01 Nuitée)</t>
  </si>
  <si>
    <t>DR-J-R9</t>
  </si>
  <si>
    <t>Cumul frais de Jail visits du mois de Juin 2025/Donald-Romeo</t>
  </si>
  <si>
    <t>DR-J-D3</t>
  </si>
  <si>
    <t>Achat billet Imfondo-Brazzaville</t>
  </si>
  <si>
    <t>DR-J-R10</t>
  </si>
  <si>
    <t>Donald Roméo-CONGO Frais d'hôtel du 24 au 27/06/2025 à Impfondo ( 03 Nuitées )</t>
  </si>
  <si>
    <t>DR-J-R11</t>
  </si>
  <si>
    <t>Donald Roméo- CONGO Frais d'hôtel du 27 au 28/06/2025 à Enyele (01 Nuitée)</t>
  </si>
  <si>
    <t>DR-J-R12</t>
  </si>
  <si>
    <t>Donald Roméo-CONGO Frais d'hôtel du 28 au 29/06/2025 à Oyo ( 01 Nuitée)</t>
  </si>
  <si>
    <t>DR-J-R13</t>
  </si>
  <si>
    <t>Cumul frais de transport local du mois de Juin 2025/Donald-Romeo</t>
  </si>
  <si>
    <t>DR-J-D4</t>
  </si>
  <si>
    <t>Achat billet Impfondo-Brazzaville/ Evariste</t>
  </si>
  <si>
    <t>Evariste-CONGO Ration  du 04 au 08 /06/ 2025 à Impfondo</t>
  </si>
  <si>
    <t xml:space="preserve">Evariste- CONGO Frais de l'hôtel du 24/05 au 06/06/2025 à Impfondo  ( 13 nuitées) </t>
  </si>
  <si>
    <t xml:space="preserve">Evariste- CONGO Frais de l'hôtel du 06 au 07/06/ 2025 à Enyele (01 nuitée) </t>
  </si>
  <si>
    <t>Evariste- CONGO Frais de l'hôtel du 07 au 08/06/2025 à Gamboma (01 nuitée)</t>
  </si>
  <si>
    <t>Credit teléphonique MTN PALF/ Deuxième partie du mois de Juin 2025</t>
  </si>
  <si>
    <t>EV-J-R5</t>
  </si>
  <si>
    <t>media</t>
  </si>
  <si>
    <t>Cumul frais de transport local du mois de Juin 2025/ Evariste</t>
  </si>
  <si>
    <t>Somme de Receved in XAF</t>
  </si>
  <si>
    <t>Somme de Receved  $</t>
  </si>
  <si>
    <t>Achat eau mineral 10 Litres/Bureau</t>
  </si>
  <si>
    <t>Frais de transfert d'argent à  Evariste</t>
  </si>
  <si>
    <t>Bonus media portant sur l'interpallation de 03 trafiquants à Impfondo(Tele congo chaine nationale en langues françcaisn, Kituba et lingala</t>
  </si>
  <si>
    <t>Bonus media portant sur l'interpallation de 03 trafiquants à Impfondo ( Pièces presse internet, pièces presse papier et radio)</t>
  </si>
  <si>
    <t>Bonus media portant sur l'annonce de laudience du 19 Juin 2025 à Brazzaville et à Dolisie( Pièces presse internet, Pièces presse papier et radio)</t>
  </si>
  <si>
    <t>Congo</t>
  </si>
  <si>
    <t>Transfer Fees</t>
  </si>
  <si>
    <t>Operations</t>
  </si>
  <si>
    <t>Bonus to media officer</t>
  </si>
  <si>
    <t>ABRAHAM - CONGO food allowance du 12/02 au 01/03/2025 à Owando (02 Nuitées)</t>
  </si>
  <si>
    <t>ROMAIN - CONGO Ration du 15/02/ au 04/03/2025 à Owando(14 Nuitées)</t>
  </si>
  <si>
    <r>
      <t>Règlement loyer du mois de Février 2025/DOVI Coordinateur PALF</t>
    </r>
    <r>
      <rPr>
        <sz val="11"/>
        <color rgb="FFFF0000"/>
        <rFont val="Calibri"/>
        <family val="2"/>
        <charset val="238"/>
      </rPr>
      <t xml:space="preserve"> </t>
    </r>
  </si>
  <si>
    <r>
      <t>Ration et Frais d'hôtel mission à Owando de maitre Alain du 19 au 21/03/2025 suivi audience à Owando</t>
    </r>
    <r>
      <rPr>
        <sz val="11"/>
        <color rgb="FFFF0000"/>
        <rFont val="Calibri"/>
        <family val="2"/>
        <charset val="238"/>
      </rPr>
      <t xml:space="preserve"> </t>
    </r>
  </si>
  <si>
    <r>
      <t>achat carte sim</t>
    </r>
    <r>
      <rPr>
        <sz val="11"/>
        <color rgb="FFFF0000"/>
        <rFont val="Calibri"/>
        <family val="2"/>
        <charset val="238"/>
      </rPr>
      <t xml:space="preserve"> </t>
    </r>
  </si>
  <si>
    <r>
      <t>Cumul frais de transport local du mois de Mars 2025/Romain</t>
    </r>
    <r>
      <rPr>
        <sz val="11"/>
        <color rgb="FFFF0000"/>
        <rFont val="Calibri"/>
        <family val="2"/>
        <charset val="238"/>
      </rPr>
      <t xml:space="preserve"> </t>
    </r>
  </si>
  <si>
    <t>Publication</t>
  </si>
  <si>
    <t>closed grants from 2024</t>
  </si>
  <si>
    <t>Elonga</t>
  </si>
  <si>
    <t>Dahan</t>
  </si>
  <si>
    <t>Maison-Bureau</t>
  </si>
  <si>
    <t>Bureau-Maison</t>
  </si>
  <si>
    <t>Règlement loyer Juin 2025/Coordinateur</t>
  </si>
  <si>
    <t>Maison- Bureau</t>
  </si>
  <si>
    <t>Maison-Cabinet d'huissier</t>
  </si>
  <si>
    <t>Cabinet - Bureau</t>
  </si>
  <si>
    <t>Maison- Cabinet d'huissier</t>
  </si>
  <si>
    <t>Bureau- Interpol</t>
  </si>
  <si>
    <t>Interpol-Bureau</t>
  </si>
  <si>
    <t>Bureau-Cabinet d'huissier</t>
  </si>
  <si>
    <t>Cabinet d'huissier - Bureau</t>
  </si>
  <si>
    <t>Bureau-Hôtel PEFACO (rendez vous)</t>
  </si>
  <si>
    <t>Hôtel PEFACO -Bureau</t>
  </si>
  <si>
    <t>Bureau - Maison</t>
  </si>
  <si>
    <t>Bureau-Hyppocampe</t>
  </si>
  <si>
    <t>Aspinall-Bureau</t>
  </si>
  <si>
    <t>Réçu caisse/Remboursement de prêt</t>
  </si>
  <si>
    <t>Reçu Caisse</t>
  </si>
  <si>
    <t>DH-JU-D1</t>
  </si>
  <si>
    <t>DH-JU-R1</t>
  </si>
  <si>
    <t>DH-JU-V1</t>
  </si>
  <si>
    <t>DH-JU-V2</t>
  </si>
  <si>
    <t>Taxi: Domicile-Burteau pour signature des pièces comptables/crépin</t>
  </si>
  <si>
    <t>Taxi: Bureau-Domicile/crépin</t>
  </si>
  <si>
    <t>Taxi: Domicile-Bureau pour la signature des chèques des salaires/crépin</t>
  </si>
  <si>
    <t>Taxi: Ecole de police-Bureau/crépin</t>
  </si>
  <si>
    <t>Taxi: Domicile Mayanga-Marché Total pour le bureau après l'appel du Coordinateur/crépin</t>
  </si>
  <si>
    <t>Taxi: Marché Total-Bureau/crépin</t>
  </si>
  <si>
    <t>Taxi: Bureau-Marché Total/crépin</t>
  </si>
  <si>
    <t>Marché Total-Domicile Mayanga/crépin</t>
  </si>
  <si>
    <t>Taxi: Domicile-Marché Total pour rencontre avec la comptable/crépin</t>
  </si>
  <si>
    <t>Taxi: Marché Total-Domicile/crépin</t>
  </si>
  <si>
    <t>CR-JU-D1</t>
  </si>
  <si>
    <t>Solde au 01/07/2025</t>
  </si>
  <si>
    <t>Taxi:  Bureau-Banque BCI/ Retrait relevé de compte bancaire du mois de Juin 2025</t>
  </si>
  <si>
    <t>Taxi:  Banque BCI - Bureau/ Retrait relevé de compte bancaire du mois de Juin 2025</t>
  </si>
  <si>
    <t xml:space="preserve"> Frais de prestation de nettoyage jardin PALF Juin 2025</t>
  </si>
  <si>
    <t>Taxi:  Bureau- Société de gardiennage/remis de chèque du mois de Juin 2025</t>
  </si>
  <si>
    <t>Taxi:  Societé de gardiennage  - Bureau/remis de chèque du mois de Juin 2025</t>
  </si>
  <si>
    <t>Rembourssement frais de certificat d'Hebergement(Valentina et Martina) du 27/06/2025</t>
  </si>
  <si>
    <t xml:space="preserve">Taxi:  Domicile-Banque BCI/ Vérification des fonds dans le compte </t>
  </si>
  <si>
    <t xml:space="preserve">Taxi:  Banque BCI - Bureau/  Vérification des fonds dans le compte </t>
  </si>
  <si>
    <t>Taxi:  Bureau-Banque BCI/ Dépôt ordre de virement salaire du mois de Juin 2025</t>
  </si>
  <si>
    <t>Taxi:  Banque BCI - Bureau/ Dépôt ordre de virement salaire du mois de Juin 2025</t>
  </si>
  <si>
    <t>Taxi:  Bureau-Banque BCI</t>
  </si>
  <si>
    <t>Taxi:  Banque BCI - CNSS/Paiement CNSS deuxième  trimestre de l'année 2025</t>
  </si>
  <si>
    <t>Taxi: CNSS-Bureau</t>
  </si>
  <si>
    <t>Taxi:  Bureau- Direction MTN/Achat crédits  departement management</t>
  </si>
  <si>
    <t>Taxi:   Direction MTN- Domicile/Achat crédits  departement management</t>
  </si>
  <si>
    <t>Credit teléphonique MTN PALF/ du 16 au 31 Juillet 2025/ Parfaite</t>
  </si>
  <si>
    <t>Taxi:  Bureau-Banque BCI/ Verification de fonds dans le compte</t>
  </si>
  <si>
    <t>Taxi:  Banque BCI - CNSS/ vérification des cotisations dans les comptes des agents PALF</t>
  </si>
  <si>
    <t>Taxi: CNSS- Bureau/Pour les cours Banque et CNSS</t>
  </si>
  <si>
    <t>Taxi:  Bureau- Direction MTN/Achat crédits  departement legal/ Donald-Roméo</t>
  </si>
  <si>
    <t>Taxi:   Direction MTN- Domicile/Achat crédits  departement Legal/Donald-Roméo</t>
  </si>
  <si>
    <t>Taxi:  Banque BCI - Bureau/ Aprro caisse</t>
  </si>
  <si>
    <t>Taxi:  Bureau- Direction MTN/Transfert d'argent à Donald-Roméo</t>
  </si>
  <si>
    <t>Taxi:   Direction MTN- Bureau/ Transfert d'argent et Appros caisse</t>
  </si>
  <si>
    <t>Frais de tansfert d'argent à  Donald-Roméo</t>
  </si>
  <si>
    <t>Taxi:  Bureau- Cabinet d'avocat/Paiement des frais de notification cas Mervielle</t>
  </si>
  <si>
    <t>Taxi:  Cabinet d'Avocat - Bureau/Paiement des frais de notification cas Mervielle</t>
  </si>
  <si>
    <t>Taxi:  Bureau-Banque BCI/ Dépôt ordre de virement salaire du mois de Juillet 2025</t>
  </si>
  <si>
    <t>Taxi:  Banque BCI - Direction Energie Electrique du congo / Paiement facture d'Electricité du mois de Mai et Juin 2025</t>
  </si>
  <si>
    <t xml:space="preserve">Taxi: Direction Energie Electrique du congo-Bureau/ Paiement facture d'Electricité du mois de Mai et Juin 2025 </t>
  </si>
  <si>
    <t>Taxi:  Bureau- Cabinet maitre LOCKO/remis de chèque du mois de Juin 2025</t>
  </si>
  <si>
    <t>Taxi:  Cabinet maitre LOCKO - Domicile/remis de chèque du mois de Juin  2025</t>
  </si>
  <si>
    <t>Réglement facture électricité periode Mai-Juin 2025/bureau PALF</t>
  </si>
  <si>
    <t>Frais de ramassage Ordure Juillet 2025</t>
  </si>
  <si>
    <t xml:space="preserve"> Frais de prestation de nettoyage jardin PALF Juillet 2025</t>
  </si>
  <si>
    <t>Reglement prestation de nettoyage  PALF du mois de Juillet 2025</t>
  </si>
  <si>
    <t>Achat de 05 ampoule à crochet</t>
  </si>
  <si>
    <t>Taxi: Bureau -Marché / Achat des Ampoules bureau PALF</t>
  </si>
  <si>
    <t>Taxi: Marché  - Bureau/ Achat de Ampoules bureau PALF</t>
  </si>
  <si>
    <t>Frais de notification affaire de merveille/ Maître OKEMBA NGABOMBA</t>
  </si>
  <si>
    <t>Taxi:Bureau- Direction Canal Box/ Paiement internet du mois de Juin 2025</t>
  </si>
  <si>
    <t>Taxi: Direction Canal Box-Bureau/ Paiement internet du mois de Juin 2025</t>
  </si>
  <si>
    <t>Reglement facture internet periode du 01/08 au 31/08/2025 bureau PALF</t>
  </si>
  <si>
    <t>Taxi:  Bureau- Direction MTN/Achat crédits  departement legal/ Romain; Roderlin et Abraham</t>
  </si>
  <si>
    <t>Taxi:   Direction MTN- Domicile/Achat crédits  departement Legal/Romain, Roderlin et Abraham</t>
  </si>
  <si>
    <t>P-JU-D1</t>
  </si>
  <si>
    <t>CA-JU-R1</t>
  </si>
  <si>
    <t>CA-JU-D1</t>
  </si>
  <si>
    <t>P-JU-R1</t>
  </si>
  <si>
    <t>CA-JU-R5</t>
  </si>
  <si>
    <t>P-JU-V1</t>
  </si>
  <si>
    <t>CA-JU-R6</t>
  </si>
  <si>
    <t>CA-JU-R7</t>
  </si>
  <si>
    <t>CA-JU-R8</t>
  </si>
  <si>
    <t>CA-JU-R9</t>
  </si>
  <si>
    <t>CA-JU-R10</t>
  </si>
  <si>
    <t>CA-JU-R11</t>
  </si>
  <si>
    <t>CA-JU-R12</t>
  </si>
  <si>
    <t>CA-JU-R14</t>
  </si>
  <si>
    <t>P29-JU-V1</t>
  </si>
  <si>
    <t>P29-JU-V2</t>
  </si>
  <si>
    <t>Solde au 1/07/2025</t>
  </si>
  <si>
    <t>Retour caisse/T73</t>
  </si>
  <si>
    <t>T73-JU-V1</t>
  </si>
  <si>
    <t>Retour caisse/G12</t>
  </si>
  <si>
    <t>Taxi:Bureau-Station SNPC Total/Achat carburant/Abraham</t>
  </si>
  <si>
    <t>Taxi:Station SNPC Total-Station X-oil Plateau Ville/Achat carburant/Abraham</t>
  </si>
  <si>
    <t>Taxi:Station X-oil Plateau Ville-Station SNPC Centre Ville/Achat carburant/Abraham</t>
  </si>
  <si>
    <t>Taxi:Station SNPC Ville-Station Total Matsoua/Achat carburant/Abraham</t>
  </si>
  <si>
    <t>Taxi:Station Total Matsoua-Station X-oil Patte d'oie/Achat carburant/Abraham</t>
  </si>
  <si>
    <t>Taxi: Station X-oil Patte d'oie-Bureau/Achat carburant/Abraham</t>
  </si>
  <si>
    <t>Reçu caisse /Abraham</t>
  </si>
  <si>
    <t>Credit teléphonique MTN PALF/ du 01 au 15 Août 2025/ Abraham</t>
  </si>
  <si>
    <t>AB-JU-D1</t>
  </si>
  <si>
    <t>CA-JU-R3</t>
  </si>
  <si>
    <t>AB-JU-V1</t>
  </si>
  <si>
    <t>CA-JU-R13</t>
  </si>
  <si>
    <t>AB-JU-R1</t>
  </si>
  <si>
    <t>COMPTA Roderlin-Juriste</t>
  </si>
  <si>
    <t>Taxi:Bureau-Centre ville pour la rencontrer maître Hélene</t>
  </si>
  <si>
    <t>Taxi:Centre ville-Bureau</t>
  </si>
  <si>
    <t xml:space="preserve">Taxi:Bureau-Cabinet BANZOUZI pour la rémise du chèque </t>
  </si>
  <si>
    <t>Taxi:Cabinet BANZOUZI-Domicile</t>
  </si>
  <si>
    <t>Achat eau mineral 10 Petite bouteille 0,6L/Bureau</t>
  </si>
  <si>
    <t>Taxi:Station marché total-Station rond-point moungali</t>
  </si>
  <si>
    <t>Taxi:Station rond point Moungali-Station 31 juillet Marché Moungali</t>
  </si>
  <si>
    <t>Taxi:Station marché moungali-Station 10 maisons</t>
  </si>
  <si>
    <t>Credit teléphonique MTN PALF du 01 au 15/Août 2025 /Roderlin</t>
  </si>
  <si>
    <t xml:space="preserve">Taxi:Bureau-TGI pour le suivi d'audience </t>
  </si>
  <si>
    <t>Taxii:TGI-Bureau</t>
  </si>
  <si>
    <t>RO-JU-V1</t>
  </si>
  <si>
    <t>RO-JU-D1</t>
  </si>
  <si>
    <t>CA-JU-R2</t>
  </si>
  <si>
    <t>CA-JU-R4</t>
  </si>
  <si>
    <t>RO-JU-V2</t>
  </si>
  <si>
    <t>RO-JU-R1</t>
  </si>
  <si>
    <t>Reçu caisse/ Donald-Roméo</t>
  </si>
  <si>
    <t>Credit teléphonique MTN PALF/du 22 au 31 Juillet 2025/Donald-Roméo</t>
  </si>
  <si>
    <t>Taxi Bureau-Agence trans Bony/ Reservation du billet</t>
  </si>
  <si>
    <t>Taxi agence Trans Bony-Domicile</t>
  </si>
  <si>
    <t>Taxi Domicile-Agence trans Bony/ Pour Owando</t>
  </si>
  <si>
    <t>Taxi Agence Trans Bony d'Owando-Hôtel case mbali</t>
  </si>
  <si>
    <t>Donald-Roméo CONGO Ration  du  23 au 25/07/2025 à Owando</t>
  </si>
  <si>
    <t>Taxi moto Hôtel Case Mbali-TGI</t>
  </si>
  <si>
    <t>Taxi moto TGI- Agence Trans Bony/ Reserver les billets retour</t>
  </si>
  <si>
    <t>Taxi moto Agence trans Bony- Hôtel Case Mbali</t>
  </si>
  <si>
    <t>Donald Roméo-CONGO Frais d'hôtel du  23 au 25/07/2025 à Owando (02 Nuitées)</t>
  </si>
  <si>
    <t xml:space="preserve">Taxi moto Hôtel Case mbali-Agens trans Bony </t>
  </si>
  <si>
    <t>Taxi bureau-Section de Recherches</t>
  </si>
  <si>
    <t>Taxi Section de Recherches-bureau</t>
  </si>
  <si>
    <t>DR-JU-V1</t>
  </si>
  <si>
    <t>DR-JU-R1</t>
  </si>
  <si>
    <t>DR-JU-D2</t>
  </si>
  <si>
    <t>DR-JU-R2</t>
  </si>
  <si>
    <t>DR-JU-D1</t>
  </si>
  <si>
    <t>DR-JU-V2</t>
  </si>
  <si>
    <t>DR-JU-R3</t>
  </si>
  <si>
    <t>DR-JU-R4</t>
  </si>
  <si>
    <t>Retour caisse/Evariste</t>
  </si>
  <si>
    <t>Taxi, Bureau PALF-CNSS</t>
  </si>
  <si>
    <t>Taxi, Bureau PALF-Les Dépêches de Brazzaville</t>
  </si>
  <si>
    <t>Taxi, Les Dépêches de Brazzaville-Radio Citoyenne des Jeunes</t>
  </si>
  <si>
    <t>Bonus media portant sur la condamnation ferme de 03 trafiquants de produits de la faune le 26 Juin 2025 à Impfondo pièces presse Internet</t>
  </si>
  <si>
    <t>Bonus media portant sur la condamnation ferme de 03 trafiquants de produits de la faune le 26 Juin 2025 à Impfondo pieces presse papier(les depêches de brazzaville, l'horizion africain, l'agence congolaise de l'information</t>
  </si>
  <si>
    <t>Bonus media portant sur la condamnation ferme de 03 trafiquants de produits de la faune le 26 Juin 2025 à Impfondo presse Radio citoyenne des jeunes</t>
  </si>
  <si>
    <t>Taxi, groupecongomedias.com-panoramik-atu.com</t>
  </si>
  <si>
    <t>Taxi, panoramik-actu.com-tribune-eco.com</t>
  </si>
  <si>
    <t>Taxi, tribune-eco.com-firstmediac.com</t>
  </si>
  <si>
    <t>Taxi, firstmediac.com-lesechos-congobrazza.com</t>
  </si>
  <si>
    <t>Taxi, lesechos-congobrazza.com-Agence Congolaise de l'Information</t>
  </si>
  <si>
    <t>Taxi, Agence Congolaise de l'Information-opinionpublique.cg</t>
  </si>
  <si>
    <t>Taxi, opinionpublique.cg-Bureau PALF</t>
  </si>
  <si>
    <t>EV-JU-V1</t>
  </si>
  <si>
    <t>EV-JU-V2</t>
  </si>
  <si>
    <t>EV-JU-D1</t>
  </si>
  <si>
    <t>EV-JU-V3</t>
  </si>
  <si>
    <t>CA-JU-D2</t>
  </si>
  <si>
    <t>CA-JU-D3</t>
  </si>
  <si>
    <t>CA-JU-D4</t>
  </si>
  <si>
    <t>Taxi: Bureau-marché Total/ à la rencontre de maître Hélène</t>
  </si>
  <si>
    <t>Taxi: Marché Total-Domicile</t>
  </si>
  <si>
    <t>RM-JU-D1</t>
  </si>
  <si>
    <t>RM-JU-R1</t>
  </si>
  <si>
    <t>Reçu  caisse/Evariste</t>
  </si>
  <si>
    <t>Reçu caisse/Evariste</t>
  </si>
  <si>
    <t>Solde  au 01/07/2025</t>
  </si>
  <si>
    <t xml:space="preserve">Office </t>
  </si>
  <si>
    <t>G12-JU-R1</t>
  </si>
  <si>
    <t>01/07/2025 of the month Balance and advance</t>
  </si>
  <si>
    <t>31/07/2025 of the month  Balance and advance</t>
  </si>
  <si>
    <t>Solde  honoraire contrat n°84 Impfondo cas MBEKELE ET CONSORTS/ Maître BANZOUZI Alain/3654886</t>
  </si>
  <si>
    <t>BQ-JU-R1</t>
  </si>
  <si>
    <t>Solde honoraire contrat N°49_Brazzaville cas BIHONDA Jean-LeBOUCK/Maitre Marie Hélène NANITELAMIO MALONGA/ 3654887</t>
  </si>
  <si>
    <t>BQ-JU-R2</t>
  </si>
  <si>
    <t>Reglement Facture Gardiennage Mois de Juin 2025/3654888</t>
  </si>
  <si>
    <t>BQ-JU-R3</t>
  </si>
  <si>
    <t>BQ-JU-R4</t>
  </si>
  <si>
    <t>Paiement Honoraire Me LOCKO/Mois de Juin  2025/3654889</t>
  </si>
  <si>
    <t>RAPATRIEME01100 RAO00010859/OAT</t>
  </si>
  <si>
    <t>BQ-JU-G1</t>
  </si>
  <si>
    <t>Reglement honoraire du mois de de Juin 2025/P29/36548890</t>
  </si>
  <si>
    <t>BQ-JU-R5</t>
  </si>
  <si>
    <t>Reglement honoraire du mois de Juin 2025/T73/3654892</t>
  </si>
  <si>
    <t>BQ-JU-R6</t>
  </si>
  <si>
    <t>Reglement honoraire du mois de Juin 2025/IT87/3654895</t>
  </si>
  <si>
    <t>BQ-JU-R7</t>
  </si>
  <si>
    <t>Reglement honoraire du mois de Juin 2025/G12/3654894</t>
  </si>
  <si>
    <t>BQ-JU-R8</t>
  </si>
  <si>
    <t>BQ-JU-R9</t>
  </si>
  <si>
    <t>BQ-JU-R10</t>
  </si>
  <si>
    <t>Paiement salaire du mois de Juin 2025/Crepin IBOUILI-IBOUILI</t>
  </si>
  <si>
    <t>BQ-JU-R11</t>
  </si>
  <si>
    <t>Paiement salaire du mois de Juin 2025/PINDI BINGA Donald- Roméo</t>
  </si>
  <si>
    <t>BQ-JU-R12</t>
  </si>
  <si>
    <t>Paiement salaire du mois de  Juin 2025/Evariste LELOUSSI</t>
  </si>
  <si>
    <t>BQ-JU-R13</t>
  </si>
  <si>
    <t>BQ-JU-R14</t>
  </si>
  <si>
    <t>BQ-JU-R15</t>
  </si>
  <si>
    <t>Frais de virement des salaire du mois Juillet 2025</t>
  </si>
  <si>
    <t>BQ-JU-R16</t>
  </si>
  <si>
    <t>BQ-JU-R17</t>
  </si>
  <si>
    <t>Paiement CNSS deuxième trimestre/Avril, Mai et Juin 2025/Crepin /3654899</t>
  </si>
  <si>
    <t>BQ-JU-R18</t>
  </si>
  <si>
    <t>Paiement CNSS deuxième trimestre/Avril, Mai et Juin 2025/Donald-Roméo/3654899</t>
  </si>
  <si>
    <t>BQ-JU-R19</t>
  </si>
  <si>
    <t>Paiement CNSS deuxième trimestre/Avril, Mai et Juin 2025/Romain/3654899</t>
  </si>
  <si>
    <t>BQ-JU-R20</t>
  </si>
  <si>
    <t>Paiement CNSS deuxième trimestre/Avril, Mai et Juin 2025/Roderlin/3654899</t>
  </si>
  <si>
    <t>BQ-JU-R21</t>
  </si>
  <si>
    <t>Paiement CNSS deuxième trimestre/Avril, Mai et Juin 2025/Abraham/3654899</t>
  </si>
  <si>
    <t>BQ-JU-R22</t>
  </si>
  <si>
    <t>Paiement CNSS deuxième trimestre/Avril, Mai et Juin 2025/Parfaite/3654899</t>
  </si>
  <si>
    <t>BQ-JU-R23</t>
  </si>
  <si>
    <t>Paiement CNSS deuxième trimestre/Avril, Mai et Juin 2025/Evariste/3654899</t>
  </si>
  <si>
    <t>BQ-JU-R24</t>
  </si>
  <si>
    <t>RAPATRIEME01100 RAO00010768/Fondation Elonga</t>
  </si>
  <si>
    <t>Retrait espèces/3654402</t>
  </si>
  <si>
    <t>BQ-JU-R25</t>
  </si>
  <si>
    <t>Paiement salaire du mois de Juillet 2025/BAVOUMINA NZOUSSI Dina Parfaite/3654406</t>
  </si>
  <si>
    <t>BQ-JU-R26</t>
  </si>
  <si>
    <t>Paiement salaire du mois de Juillet 2025/FOUMBA Roderlin/3654404</t>
  </si>
  <si>
    <t>BQ-JU-R27</t>
  </si>
  <si>
    <t>Paiement salaire du mois de Juillet 2025/BOUNGOU MAKOSSO Abraham/3654403</t>
  </si>
  <si>
    <t>BQ-JU-R28</t>
  </si>
  <si>
    <t>Paiement salaire du mois de Juillet 2025/Crepin IBOUILI-IBOUILI</t>
  </si>
  <si>
    <t>BQ-JU-R29</t>
  </si>
  <si>
    <t>Paiement salaire du mois de Juillet 2025/PINDI BINGA Donald- Roméo</t>
  </si>
  <si>
    <t>BQ-JU-R30</t>
  </si>
  <si>
    <t>Paiement salaire du mois de  Juillet 2025/Evariste LELOUSSI</t>
  </si>
  <si>
    <t>BQ-JU-R31</t>
  </si>
  <si>
    <t>Paiement salaire du mois de Juillet 2025/LOUNDOU JeanRomain/3654405</t>
  </si>
  <si>
    <t>BQ-JU-R32</t>
  </si>
  <si>
    <t>Reglement loyer du mois de Juillet 2025/3654407</t>
  </si>
  <si>
    <t>OUI</t>
  </si>
  <si>
    <t>Frais de virement des salaire du mois Juin 2025</t>
  </si>
  <si>
    <t>BQ-JU-R33</t>
  </si>
  <si>
    <t>Solde honoraire contrat N°76_Owando cas EBI Aimé brichly/Maitre Marie Hélène NANITELAMIO MALONGA/ 3654408</t>
  </si>
  <si>
    <t>BQ-JU-R34</t>
  </si>
  <si>
    <t>Reglement honoraire du mois de de Juin 2025/P29/3654409</t>
  </si>
  <si>
    <t>BQ-JU-R35</t>
  </si>
  <si>
    <t>Reglement honoraire du mois de Juin 2025/T73/3654410</t>
  </si>
  <si>
    <t>BQ-JU-R36</t>
  </si>
  <si>
    <t>Report de solde du 01/07/2025</t>
  </si>
  <si>
    <t>BQ-JU-G2</t>
  </si>
  <si>
    <t>Report au 01/07/2025</t>
  </si>
  <si>
    <t>CA-JU-V2</t>
  </si>
  <si>
    <t>CA-JU-V3</t>
  </si>
  <si>
    <t xml:space="preserve">Achat credit  teléphonique MTN/PALF/DU 16 au 31 Juillet 2025 DOVI ET PARFAITE </t>
  </si>
  <si>
    <t>CA-JU-V4</t>
  </si>
  <si>
    <t>CA-JU-V5</t>
  </si>
  <si>
    <t>CA-JU-V6</t>
  </si>
  <si>
    <t>Achat credit  teléphonique MTN/PALF/DU 22 au 31/07/2025 Donald-Roméo</t>
  </si>
  <si>
    <t>BCI3654402</t>
  </si>
  <si>
    <t>CA-JU-V7</t>
  </si>
  <si>
    <t>CA-JU-V8</t>
  </si>
  <si>
    <t>CA-JU-V9</t>
  </si>
  <si>
    <t>CA-JU-V10</t>
  </si>
  <si>
    <t>CA-JU-V11</t>
  </si>
  <si>
    <t>CA-JU-V12</t>
  </si>
  <si>
    <t>CA-JU-V13</t>
  </si>
  <si>
    <t>CA-JU-V14</t>
  </si>
  <si>
    <t>CA-JU-V15</t>
  </si>
  <si>
    <t>CA-JU-V16</t>
  </si>
  <si>
    <t>CA-JU-V17</t>
  </si>
  <si>
    <t>FINANCIAL POSITION AT 01/07/2025</t>
  </si>
  <si>
    <t>FINANCIAL POSITION AT 31/07/2025</t>
  </si>
  <si>
    <t>Releve</t>
  </si>
  <si>
    <t>Frais de virement salaire Juin 2025</t>
  </si>
  <si>
    <t>Frais de virement salaire Juillet 2025</t>
  </si>
  <si>
    <t>ELONGA</t>
  </si>
  <si>
    <t>févr</t>
  </si>
  <si>
    <t>mars</t>
  </si>
  <si>
    <t>avr</t>
  </si>
  <si>
    <t>mai</t>
  </si>
  <si>
    <t>juin</t>
  </si>
  <si>
    <t>janv</t>
  </si>
  <si>
    <t>juil</t>
  </si>
  <si>
    <t>Juillet</t>
  </si>
  <si>
    <t>Credit teléphonique MTN PALF/ du 16 au 31 Juillet 2025/ DOVI</t>
  </si>
  <si>
    <t>DH-JU-R2</t>
  </si>
  <si>
    <r>
      <t>Balance as per the</t>
    </r>
    <r>
      <rPr>
        <b/>
        <sz val="12"/>
        <color rgb="FFFF0000"/>
        <rFont val="Aptos Narrow"/>
        <family val="2"/>
        <scheme val="minor"/>
      </rPr>
      <t xml:space="preserve"> accounting</t>
    </r>
  </si>
  <si>
    <t>Credit teléphonique MTN PALF/ du 01 au 08 Août 2025/ Abraham</t>
  </si>
  <si>
    <t>Credit teléphonique MTN PALF/du 01au 08 Août  2025/Romain</t>
  </si>
  <si>
    <t>Credit teléphonique MTN PALF du 01 au 08 Août 2025 /Roderlin</t>
  </si>
  <si>
    <t>Achat credit  teléphonique MTN/PALF/DU 01 au 08/08/2025 Romain, Roderlin, Abraham</t>
  </si>
  <si>
    <t xml:space="preserve"> Frais de prestation de nettoyage du jardin PALF/ Juin 2025</t>
  </si>
  <si>
    <t>Remboursement frais de certificat d'Hébergement(Valentina et Martina) du 27/06/2025</t>
  </si>
  <si>
    <t>Credit téléphonique MTN PALF/ du 16 au 31 Juillet 2025/ Parfaite</t>
  </si>
  <si>
    <t>Frais de transfert d'argent à  Donald-Roméo</t>
  </si>
  <si>
    <t>Réglement facture électricité de la période Mai-Juin 2025/bureau PALF</t>
  </si>
  <si>
    <t xml:space="preserve"> Frais de prestation de nettoyage du jardin PALF Juillet 2025</t>
  </si>
  <si>
    <t>Frais de ramassage d' ordures Juillet 2025</t>
  </si>
  <si>
    <t>Achat de 05 ampoules à crochet</t>
  </si>
  <si>
    <t>Bonus média portant sur la condamnation ferme de 03 trafiquants de produits de la faune le 26 Juin 2025 à Impfondo pièces presse Internet</t>
  </si>
  <si>
    <t>Bonus média portant sur la condamnation ferme de 03 trafiquants de produits de la faune le 26 Juin 2025 à Impfondo pièces presse papier(les depêches de brazzaville, l'horizon africain, l'agence congolaise de l'information</t>
  </si>
  <si>
    <t>Credit téléphonique MTN PALF/du 22 au 31 Juillet 2025/Donald-Roméo</t>
  </si>
  <si>
    <t>Taxi: Domicile-Bureau pour signature des pièces comptables/crépin</t>
  </si>
  <si>
    <t>DOVI/ Remboursement prêt du 30/06/2025</t>
  </si>
  <si>
    <t>Règlement loyer du mois de Juillet 2025/3654407</t>
  </si>
  <si>
    <t>Règlement honoraire du mois de de Juin 2025/P29/36548890</t>
  </si>
  <si>
    <t>Règlement honoraire du mois de Juin 2025/T73/3654892</t>
  </si>
  <si>
    <t>Règlement honoraire du mois de Juin 2025/IT87/3654895</t>
  </si>
  <si>
    <t>Règlement honoraire du mois de Juin 2025/G12/3654894</t>
  </si>
  <si>
    <t>Règlement Facture Gardiennage Mois de Juin 2025/3654888</t>
  </si>
  <si>
    <t>Règlement loyer du mois de Juin 2025/3654885</t>
  </si>
  <si>
    <t>Paiement salaire du mois de Juin 2025/FOUMBA Roderlin/3654900</t>
  </si>
  <si>
    <t>Paiement salaire du mois de Juin 2025/FOUMBA Roderlin/365490</t>
  </si>
  <si>
    <t>Paiement salaire du mois de Juin 2025/BAVOUMINA NZOUSSI Dina Parfaite/365897</t>
  </si>
  <si>
    <t>Paiement salaire du mois de Juin 2025/BOUNGOU MAKOSSO Abraham/3654896</t>
  </si>
  <si>
    <t>Paiement salaire du mois de Juin 2025/BAVOUMINA NZOUSSI Dina Parfaite/3654897</t>
  </si>
  <si>
    <t>Paiement salaire du  01 au 18 Juin 2025/Homéfa DOVI/3654898</t>
  </si>
  <si>
    <t>Paiement salaire du 19 au 30 Juin 2025/Homéfa DOVI/3654898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</si>
</sst>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1" formatCode="_-* #,##0\ _€_-;\-* #,##0\ _€_-;_-* &quot;-&quot;\ _€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#,##0.00_ ;[Red]\-#,##0.00\ "/>
    <numFmt numFmtId="167" formatCode="#,##0.0000"/>
    <numFmt numFmtId="168" formatCode="_-* #,##0\ _€_-;\-* #,##0\ _€_-;_-* &quot;-&quot;??\ _€_-;_-@_-"/>
    <numFmt numFmtId="169" formatCode="#,##0.00;[Red]#,##0.00"/>
    <numFmt numFmtId="170" formatCode="[$-409]mmmmm;@"/>
    <numFmt numFmtId="171" formatCode="[$-40C]d\-mmm;@"/>
    <numFmt numFmtId="172" formatCode="_-* #,##0\ _€_-;\-* #,##0\ _€_-;_-* &quot;-&quot;??\ _€_-;_-@"/>
    <numFmt numFmtId="173" formatCode="0.000"/>
    <numFmt numFmtId="174" formatCode="[$-40C]d\-mmm\-yy;@"/>
    <numFmt numFmtId="175" formatCode="#,##0_ ;[Red]\-#,##0\ "/>
    <numFmt numFmtId="176" formatCode="[$-40C]General"/>
    <numFmt numFmtId="177" formatCode="[$-409]d\-mmm\-yy;@"/>
    <numFmt numFmtId="178" formatCode="[$-40C]0"/>
    <numFmt numFmtId="179" formatCode="&quot; &quot;#,##0&quot;    &quot;;&quot;-&quot;#,##0&quot;    &quot;;&quot; -&quot;#&quot;    &quot;;&quot; &quot;@&quot; &quot;"/>
    <numFmt numFmtId="180" formatCode="0.0000"/>
    <numFmt numFmtId="181" formatCode="_-* #,##0.000\ _€_-;\-* #,##0.000\ _€_-;_-* &quot;-&quot;??\ _€_-;_-@_-"/>
    <numFmt numFmtId="182" formatCode="_-* #,##0.000\ _€_-;\-* #,##0.000\ _€_-;_-* &quot;-&quot;???\ _€_-;_-@_-"/>
    <numFmt numFmtId="183" formatCode="0.0"/>
    <numFmt numFmtId="184" formatCode="dd/mm/yyyy;@"/>
    <numFmt numFmtId="185" formatCode="#,##0.0000_ ;[Red]\-#,##0.0000\ "/>
    <numFmt numFmtId="186" formatCode="#,##0.000"/>
  </numFmts>
  <fonts count="84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b/>
      <sz val="11"/>
      <name val="Calibri"/>
      <family val="2"/>
      <charset val="238"/>
    </font>
    <font>
      <sz val="10"/>
      <name val="Arial"/>
      <family val="2"/>
    </font>
    <font>
      <b/>
      <sz val="10"/>
      <name val="Calibri"/>
      <family val="2"/>
    </font>
    <font>
      <b/>
      <sz val="10"/>
      <name val="Calibri"/>
      <family val="2"/>
      <charset val="238"/>
    </font>
    <font>
      <sz val="1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charset val="238"/>
    </font>
    <font>
      <b/>
      <sz val="10"/>
      <color indexed="8"/>
      <name val="Calibri"/>
      <family val="2"/>
    </font>
    <font>
      <b/>
      <sz val="10"/>
      <color indexed="8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1"/>
      <name val="Aptos Narrow"/>
      <family val="2"/>
      <charset val="238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238"/>
    </font>
    <font>
      <b/>
      <sz val="10"/>
      <color theme="1"/>
      <name val="Calibri"/>
      <family val="2"/>
    </font>
    <font>
      <sz val="8"/>
      <color theme="1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10"/>
      <color rgb="FFFF0000"/>
      <name val="Calibri"/>
      <family val="2"/>
    </font>
    <font>
      <b/>
      <sz val="8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2"/>
      <color theme="1"/>
      <name val="Aptos Narrow"/>
      <family val="2"/>
      <charset val="238"/>
      <scheme val="minor"/>
    </font>
    <font>
      <sz val="10"/>
      <color theme="1"/>
      <name val="Aptos Narrow"/>
      <family val="2"/>
      <scheme val="minor"/>
    </font>
    <font>
      <sz val="8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b/>
      <sz val="10"/>
      <name val="Times New Roman"/>
      <family val="1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Times New Roman"/>
      <family val="1"/>
      <charset val="238"/>
    </font>
    <font>
      <sz val="9"/>
      <color theme="1"/>
      <name val="Arial Narrow"/>
      <family val="2"/>
    </font>
    <font>
      <sz val="9"/>
      <name val="Arial Narrow"/>
      <family val="2"/>
    </font>
    <font>
      <sz val="11"/>
      <color indexed="8"/>
      <name val="Calibri"/>
      <family val="2"/>
    </font>
    <font>
      <sz val="9"/>
      <color indexed="8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  <font>
      <sz val="1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name val="Arial Narrow"/>
      <family val="2"/>
    </font>
    <font>
      <b/>
      <sz val="12"/>
      <name val="Arial Narrow"/>
      <family val="2"/>
    </font>
    <font>
      <sz val="11"/>
      <color rgb="FF000000"/>
      <name val="Calibri"/>
      <family val="2"/>
    </font>
    <font>
      <sz val="12"/>
      <color theme="1"/>
      <name val="Arial Narrow"/>
      <family val="2"/>
      <charset val="238"/>
    </font>
    <font>
      <sz val="12"/>
      <color theme="1"/>
      <name val="Arial Narrow"/>
      <family val="2"/>
    </font>
    <font>
      <sz val="11"/>
      <color theme="1"/>
      <name val="Times New Roman"/>
      <family val="1"/>
    </font>
    <font>
      <sz val="12"/>
      <color rgb="FF000000"/>
      <name val="Calibri"/>
      <family val="2"/>
    </font>
    <font>
      <b/>
      <sz val="12"/>
      <color theme="1"/>
      <name val="Arial Narrow"/>
      <family val="2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2"/>
      <color theme="1"/>
      <name val="Arial Narrow"/>
      <family val="2"/>
      <charset val="238"/>
    </font>
    <font>
      <sz val="10"/>
      <color rgb="FF000000"/>
      <name val="Times New Roman"/>
      <family val="1"/>
    </font>
    <font>
      <sz val="12"/>
      <name val="Calibri"/>
      <family val="2"/>
    </font>
    <font>
      <sz val="12"/>
      <color theme="1"/>
      <name val="Calibri"/>
      <family val="2"/>
    </font>
    <font>
      <sz val="12"/>
      <color rgb="FF000000"/>
      <name val="Arial"/>
      <family val="2"/>
    </font>
    <font>
      <sz val="12"/>
      <color rgb="FF000000"/>
      <name val="Arial Narrow"/>
      <family val="2"/>
    </font>
    <font>
      <sz val="12"/>
      <color rgb="FF000000"/>
      <name val="Times New Roman"/>
      <family val="1"/>
    </font>
    <font>
      <sz val="11"/>
      <color rgb="FF000000"/>
      <name val="Times New Roman"/>
      <family val="1"/>
    </font>
    <font>
      <b/>
      <sz val="12"/>
      <color theme="1"/>
      <name val="Aptos Narrow"/>
      <family val="2"/>
      <scheme val="minor"/>
    </font>
    <font>
      <sz val="12"/>
      <name val="Aptos Narrow"/>
      <family val="2"/>
      <scheme val="minor"/>
    </font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theme="3"/>
      <name val="Calibri"/>
      <family val="2"/>
      <charset val="238"/>
    </font>
    <font>
      <sz val="11"/>
      <name val="Calibri"/>
      <family val="2"/>
    </font>
    <font>
      <sz val="11"/>
      <color theme="1"/>
      <name val="Calibri"/>
      <family val="2"/>
    </font>
    <font>
      <b/>
      <sz val="12"/>
      <name val="Aptos Narrow"/>
      <family val="2"/>
      <scheme val="minor"/>
    </font>
    <font>
      <sz val="12"/>
      <color indexed="8"/>
      <name val="Arial Narrow"/>
      <family val="2"/>
    </font>
    <font>
      <i/>
      <sz val="12"/>
      <color indexed="10"/>
      <name val="Aptos Narrow"/>
      <family val="2"/>
      <scheme val="minor"/>
    </font>
    <font>
      <b/>
      <i/>
      <sz val="12"/>
      <name val="Aptos Narrow"/>
      <family val="2"/>
      <scheme val="minor"/>
    </font>
    <font>
      <i/>
      <sz val="12"/>
      <name val="Aptos Narrow"/>
      <family val="2"/>
      <scheme val="minor"/>
    </font>
    <font>
      <b/>
      <sz val="12"/>
      <color theme="3" tint="-0.499984740745262"/>
      <name val="Aptos Narrow"/>
      <family val="2"/>
      <scheme val="minor"/>
    </font>
    <font>
      <sz val="12"/>
      <color theme="3" tint="-0.499984740745262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color theme="1"/>
      <name val="Aptos Narrow"/>
      <family val="2"/>
      <charset val="238"/>
      <scheme val="minor"/>
    </font>
    <font>
      <sz val="12"/>
      <color rgb="FF000000"/>
      <name val="Calibri"/>
      <family val="2"/>
      <charset val="238"/>
    </font>
    <font>
      <b/>
      <sz val="12"/>
      <color theme="1"/>
      <name val="Aptos Narrow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EF4"/>
        <bgColor rgb="FFDBEEF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EF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6" tint="0.7999816888943144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13">
    <xf numFmtId="0" fontId="0" fillId="0" borderId="0"/>
    <xf numFmtId="165" fontId="5" fillId="0" borderId="0" applyFont="0" applyFill="0" applyBorder="0" applyAlignment="0" applyProtection="0"/>
    <xf numFmtId="0" fontId="8" fillId="0" borderId="0"/>
    <xf numFmtId="0" fontId="36" fillId="0" borderId="0"/>
    <xf numFmtId="177" fontId="45" fillId="0" borderId="0" applyBorder="0" applyProtection="0"/>
    <xf numFmtId="43" fontId="49" fillId="0" borderId="0">
      <protection locked="0"/>
    </xf>
    <xf numFmtId="43" fontId="4" fillId="0" borderId="0" applyFont="0" applyFill="0" applyBorder="0" applyAlignment="0" applyProtection="0"/>
    <xf numFmtId="0" fontId="8" fillId="0" borderId="0"/>
    <xf numFmtId="43" fontId="42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" fillId="0" borderId="0"/>
  </cellStyleXfs>
  <cellXfs count="514">
    <xf numFmtId="0" fontId="0" fillId="0" borderId="0" xfId="0"/>
    <xf numFmtId="0" fontId="7" fillId="2" borderId="1" xfId="0" applyFont="1" applyFill="1" applyBorder="1" applyAlignment="1">
      <alignment horizontal="left" vertical="center" wrapText="1"/>
    </xf>
    <xf numFmtId="167" fontId="7" fillId="2" borderId="1" xfId="0" applyNumberFormat="1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right" vertical="center" wrapText="1"/>
    </xf>
    <xf numFmtId="166" fontId="10" fillId="3" borderId="1" xfId="2" applyNumberFormat="1" applyFont="1" applyFill="1" applyBorder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166" fontId="11" fillId="0" borderId="1" xfId="1" applyNumberFormat="1" applyFont="1" applyBorder="1"/>
    <xf numFmtId="166" fontId="12" fillId="0" borderId="1" xfId="0" applyNumberFormat="1" applyFont="1" applyBorder="1" applyAlignment="1">
      <alignment vertical="top" wrapText="1"/>
    </xf>
    <xf numFmtId="166" fontId="13" fillId="0" borderId="1" xfId="1" applyNumberFormat="1" applyFont="1" applyBorder="1"/>
    <xf numFmtId="166" fontId="13" fillId="0" borderId="2" xfId="1" applyNumberFormat="1" applyFont="1" applyBorder="1"/>
    <xf numFmtId="166" fontId="10" fillId="3" borderId="1" xfId="1" applyNumberFormat="1" applyFont="1" applyFill="1" applyBorder="1"/>
    <xf numFmtId="166" fontId="9" fillId="0" borderId="1" xfId="1" applyNumberFormat="1" applyFont="1" applyBorder="1"/>
    <xf numFmtId="166" fontId="14" fillId="0" borderId="1" xfId="0" applyNumberFormat="1" applyFont="1" applyBorder="1" applyAlignment="1">
      <alignment vertical="top" wrapText="1"/>
    </xf>
    <xf numFmtId="14" fontId="15" fillId="4" borderId="1" xfId="0" applyNumberFormat="1" applyFont="1" applyFill="1" applyBorder="1"/>
    <xf numFmtId="166" fontId="16" fillId="4" borderId="1" xfId="1" applyNumberFormat="1" applyFont="1" applyFill="1" applyBorder="1"/>
    <xf numFmtId="166" fontId="17" fillId="4" borderId="1" xfId="0" applyNumberFormat="1" applyFont="1" applyFill="1" applyBorder="1"/>
    <xf numFmtId="166" fontId="10" fillId="4" borderId="1" xfId="1" applyNumberFormat="1" applyFont="1" applyFill="1" applyBorder="1"/>
    <xf numFmtId="14" fontId="12" fillId="0" borderId="1" xfId="0" applyNumberFormat="1" applyFont="1" applyBorder="1"/>
    <xf numFmtId="166" fontId="12" fillId="0" borderId="1" xfId="0" applyNumberFormat="1" applyFont="1" applyBorder="1"/>
    <xf numFmtId="166" fontId="11" fillId="0" borderId="1" xfId="1" applyNumberFormat="1" applyFont="1" applyBorder="1" applyAlignment="1">
      <alignment horizontal="center"/>
    </xf>
    <xf numFmtId="166" fontId="18" fillId="0" borderId="1" xfId="1" applyNumberFormat="1" applyFont="1" applyBorder="1"/>
    <xf numFmtId="166" fontId="12" fillId="0" borderId="2" xfId="0" applyNumberFormat="1" applyFont="1" applyBorder="1"/>
    <xf numFmtId="0" fontId="19" fillId="0" borderId="1" xfId="0" applyFont="1" applyBorder="1"/>
    <xf numFmtId="166" fontId="19" fillId="0" borderId="1" xfId="0" applyNumberFormat="1" applyFont="1" applyBorder="1"/>
    <xf numFmtId="166" fontId="19" fillId="0" borderId="1" xfId="1" applyNumberFormat="1" applyFont="1" applyBorder="1"/>
    <xf numFmtId="166" fontId="19" fillId="5" borderId="1" xfId="1" applyNumberFormat="1" applyFont="1" applyFill="1" applyBorder="1"/>
    <xf numFmtId="166" fontId="19" fillId="0" borderId="2" xfId="1" applyNumberFormat="1" applyFont="1" applyBorder="1"/>
    <xf numFmtId="0" fontId="21" fillId="0" borderId="3" xfId="0" applyFont="1" applyBorder="1"/>
    <xf numFmtId="166" fontId="22" fillId="0" borderId="3" xfId="0" applyNumberFormat="1" applyFont="1" applyBorder="1"/>
    <xf numFmtId="166" fontId="23" fillId="0" borderId="3" xfId="0" applyNumberFormat="1" applyFont="1" applyBorder="1"/>
    <xf numFmtId="166" fontId="22" fillId="5" borderId="3" xfId="0" applyNumberFormat="1" applyFont="1" applyFill="1" applyBorder="1"/>
    <xf numFmtId="166" fontId="22" fillId="0" borderId="5" xfId="0" applyNumberFormat="1" applyFont="1" applyBorder="1"/>
    <xf numFmtId="166" fontId="24" fillId="3" borderId="1" xfId="1" applyNumberFormat="1" applyFont="1" applyFill="1" applyBorder="1"/>
    <xf numFmtId="0" fontId="20" fillId="0" borderId="3" xfId="0" applyFont="1" applyBorder="1"/>
    <xf numFmtId="166" fontId="14" fillId="0" borderId="3" xfId="0" applyNumberFormat="1" applyFont="1" applyBorder="1"/>
    <xf numFmtId="166" fontId="14" fillId="0" borderId="5" xfId="0" applyNumberFormat="1" applyFont="1" applyBorder="1"/>
    <xf numFmtId="0" fontId="20" fillId="7" borderId="6" xfId="0" applyFont="1" applyFill="1" applyBorder="1"/>
    <xf numFmtId="166" fontId="14" fillId="7" borderId="7" xfId="0" applyNumberFormat="1" applyFont="1" applyFill="1" applyBorder="1"/>
    <xf numFmtId="166" fontId="14" fillId="7" borderId="8" xfId="0" applyNumberFormat="1" applyFont="1" applyFill="1" applyBorder="1"/>
    <xf numFmtId="166" fontId="10" fillId="7" borderId="1" xfId="1" applyNumberFormat="1" applyFont="1" applyFill="1" applyBorder="1"/>
    <xf numFmtId="0" fontId="12" fillId="0" borderId="9" xfId="0" applyFont="1" applyBorder="1"/>
    <xf numFmtId="166" fontId="12" fillId="0" borderId="9" xfId="0" applyNumberFormat="1" applyFont="1" applyBorder="1"/>
    <xf numFmtId="166" fontId="12" fillId="0" borderId="10" xfId="0" applyNumberFormat="1" applyFont="1" applyBorder="1"/>
    <xf numFmtId="0" fontId="20" fillId="0" borderId="1" xfId="0" applyFont="1" applyBorder="1"/>
    <xf numFmtId="166" fontId="20" fillId="0" borderId="1" xfId="0" applyNumberFormat="1" applyFont="1" applyBorder="1"/>
    <xf numFmtId="166" fontId="14" fillId="0" borderId="1" xfId="0" applyNumberFormat="1" applyFont="1" applyBorder="1"/>
    <xf numFmtId="166" fontId="20" fillId="0" borderId="1" xfId="1" applyNumberFormat="1" applyFont="1" applyBorder="1"/>
    <xf numFmtId="166" fontId="20" fillId="0" borderId="2" xfId="1" applyNumberFormat="1" applyFont="1" applyBorder="1"/>
    <xf numFmtId="0" fontId="12" fillId="0" borderId="0" xfId="0" applyFont="1"/>
    <xf numFmtId="166" fontId="12" fillId="0" borderId="0" xfId="0" applyNumberFormat="1" applyFont="1"/>
    <xf numFmtId="0" fontId="17" fillId="0" borderId="4" xfId="0" applyFont="1" applyBorder="1"/>
    <xf numFmtId="0" fontId="25" fillId="8" borderId="11" xfId="0" applyFont="1" applyFill="1" applyBorder="1"/>
    <xf numFmtId="166" fontId="25" fillId="8" borderId="12" xfId="0" applyNumberFormat="1" applyFont="1" applyFill="1" applyBorder="1"/>
    <xf numFmtId="166" fontId="25" fillId="8" borderId="13" xfId="0" applyNumberFormat="1" applyFont="1" applyFill="1" applyBorder="1"/>
    <xf numFmtId="166" fontId="25" fillId="8" borderId="14" xfId="0" applyNumberFormat="1" applyFont="1" applyFill="1" applyBorder="1"/>
    <xf numFmtId="0" fontId="26" fillId="3" borderId="15" xfId="0" applyFont="1" applyFill="1" applyBorder="1"/>
    <xf numFmtId="0" fontId="26" fillId="8" borderId="16" xfId="0" applyFont="1" applyFill="1" applyBorder="1" applyAlignment="1">
      <alignment wrapText="1"/>
    </xf>
    <xf numFmtId="166" fontId="25" fillId="8" borderId="17" xfId="0" applyNumberFormat="1" applyFont="1" applyFill="1" applyBorder="1" applyAlignment="1">
      <alignment wrapText="1"/>
    </xf>
    <xf numFmtId="166" fontId="25" fillId="8" borderId="1" xfId="0" applyNumberFormat="1" applyFont="1" applyFill="1" applyBorder="1" applyAlignment="1">
      <alignment wrapText="1"/>
    </xf>
    <xf numFmtId="0" fontId="26" fillId="3" borderId="18" xfId="0" applyFont="1" applyFill="1" applyBorder="1" applyAlignment="1">
      <alignment wrapText="1"/>
    </xf>
    <xf numFmtId="0" fontId="25" fillId="9" borderId="19" xfId="0" applyFont="1" applyFill="1" applyBorder="1" applyAlignment="1">
      <alignment wrapText="1"/>
    </xf>
    <xf numFmtId="166" fontId="25" fillId="9" borderId="20" xfId="0" applyNumberFormat="1" applyFont="1" applyFill="1" applyBorder="1"/>
    <xf numFmtId="166" fontId="25" fillId="9" borderId="21" xfId="0" applyNumberFormat="1" applyFont="1" applyFill="1" applyBorder="1"/>
    <xf numFmtId="4" fontId="27" fillId="9" borderId="22" xfId="0" applyNumberFormat="1" applyFont="1" applyFill="1" applyBorder="1" applyAlignment="1">
      <alignment horizontal="center" vertical="center"/>
    </xf>
    <xf numFmtId="166" fontId="26" fillId="3" borderId="23" xfId="0" applyNumberFormat="1" applyFont="1" applyFill="1" applyBorder="1"/>
    <xf numFmtId="14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14" fontId="0" fillId="0" borderId="0" xfId="0" applyNumberFormat="1"/>
    <xf numFmtId="3" fontId="7" fillId="2" borderId="1" xfId="0" applyNumberFormat="1" applyFont="1" applyFill="1" applyBorder="1" applyAlignment="1">
      <alignment vertical="center" wrapText="1"/>
    </xf>
    <xf numFmtId="3" fontId="0" fillId="0" borderId="0" xfId="0" applyNumberFormat="1"/>
    <xf numFmtId="4" fontId="7" fillId="2" borderId="1" xfId="0" applyNumberFormat="1" applyFont="1" applyFill="1" applyBorder="1" applyAlignment="1">
      <alignment horizontal="right" vertical="center" wrapText="1"/>
    </xf>
    <xf numFmtId="14" fontId="7" fillId="10" borderId="1" xfId="0" applyNumberFormat="1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left"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0" fillId="0" borderId="1" xfId="0" applyBorder="1"/>
    <xf numFmtId="166" fontId="14" fillId="2" borderId="1" xfId="0" applyNumberFormat="1" applyFont="1" applyFill="1" applyBorder="1" applyAlignment="1">
      <alignment vertical="top" wrapText="1"/>
    </xf>
    <xf numFmtId="166" fontId="9" fillId="2" borderId="1" xfId="1" applyNumberFormat="1" applyFont="1" applyFill="1" applyBorder="1"/>
    <xf numFmtId="14" fontId="9" fillId="2" borderId="1" xfId="2" applyNumberFormat="1" applyFont="1" applyFill="1" applyBorder="1" applyAlignment="1">
      <alignment horizontal="center" vertical="center"/>
    </xf>
    <xf numFmtId="166" fontId="9" fillId="2" borderId="1" xfId="2" applyNumberFormat="1" applyFont="1" applyFill="1" applyBorder="1" applyAlignment="1">
      <alignment horizontal="center" vertical="center" wrapText="1"/>
    </xf>
    <xf numFmtId="166" fontId="9" fillId="2" borderId="1" xfId="2" applyNumberFormat="1" applyFont="1" applyFill="1" applyBorder="1" applyAlignment="1">
      <alignment horizontal="center" vertical="center"/>
    </xf>
    <xf numFmtId="166" fontId="9" fillId="2" borderId="2" xfId="2" applyNumberFormat="1" applyFont="1" applyFill="1" applyBorder="1" applyAlignment="1">
      <alignment horizontal="center" vertical="center" wrapText="1"/>
    </xf>
    <xf numFmtId="0" fontId="20" fillId="4" borderId="1" xfId="0" applyFont="1" applyFill="1" applyBorder="1"/>
    <xf numFmtId="166" fontId="14" fillId="4" borderId="1" xfId="0" applyNumberFormat="1" applyFont="1" applyFill="1" applyBorder="1"/>
    <xf numFmtId="166" fontId="14" fillId="4" borderId="2" xfId="0" applyNumberFormat="1" applyFont="1" applyFill="1" applyBorder="1"/>
    <xf numFmtId="3" fontId="7" fillId="10" borderId="1" xfId="0" applyNumberFormat="1" applyFont="1" applyFill="1" applyBorder="1" applyAlignment="1">
      <alignment vertical="center" wrapText="1"/>
    </xf>
    <xf numFmtId="3" fontId="7" fillId="10" borderId="1" xfId="0" applyNumberFormat="1" applyFont="1" applyFill="1" applyBorder="1" applyAlignment="1">
      <alignment horizontal="right" vertical="center" wrapText="1"/>
    </xf>
    <xf numFmtId="3" fontId="7" fillId="4" borderId="1" xfId="0" applyNumberFormat="1" applyFont="1" applyFill="1" applyBorder="1" applyAlignment="1">
      <alignment vertical="center" wrapText="1"/>
    </xf>
    <xf numFmtId="3" fontId="7" fillId="4" borderId="1" xfId="0" applyNumberFormat="1" applyFont="1" applyFill="1" applyBorder="1" applyAlignment="1">
      <alignment horizontal="right" vertical="center" wrapText="1"/>
    </xf>
    <xf numFmtId="0" fontId="29" fillId="0" borderId="0" xfId="0" applyFont="1"/>
    <xf numFmtId="0" fontId="29" fillId="0" borderId="1" xfId="0" applyFont="1" applyBorder="1"/>
    <xf numFmtId="4" fontId="0" fillId="0" borderId="1" xfId="0" applyNumberFormat="1" applyBorder="1"/>
    <xf numFmtId="0" fontId="6" fillId="0" borderId="1" xfId="0" applyFont="1" applyBorder="1"/>
    <xf numFmtId="4" fontId="29" fillId="0" borderId="1" xfId="0" applyNumberFormat="1" applyFont="1" applyBorder="1"/>
    <xf numFmtId="3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4" borderId="1" xfId="0" applyFill="1" applyBorder="1"/>
    <xf numFmtId="0" fontId="0" fillId="10" borderId="1" xfId="0" applyFill="1" applyBorder="1"/>
    <xf numFmtId="170" fontId="30" fillId="12" borderId="1" xfId="0" applyNumberFormat="1" applyFont="1" applyFill="1" applyBorder="1" applyAlignment="1">
      <alignment horizontal="center" vertical="center" wrapText="1"/>
    </xf>
    <xf numFmtId="166" fontId="30" fillId="12" borderId="1" xfId="0" applyNumberFormat="1" applyFont="1" applyFill="1" applyBorder="1" applyAlignment="1">
      <alignment horizontal="center" vertical="center" wrapText="1"/>
    </xf>
    <xf numFmtId="49" fontId="31" fillId="13" borderId="1" xfId="0" applyNumberFormat="1" applyFont="1" applyFill="1" applyBorder="1" applyAlignment="1">
      <alignment vertical="top" wrapText="1"/>
    </xf>
    <xf numFmtId="166" fontId="31" fillId="13" borderId="1" xfId="0" applyNumberFormat="1" applyFont="1" applyFill="1" applyBorder="1" applyAlignment="1">
      <alignment vertical="top" wrapText="1"/>
    </xf>
    <xf numFmtId="166" fontId="31" fillId="13" borderId="1" xfId="0" applyNumberFormat="1" applyFont="1" applyFill="1" applyBorder="1" applyAlignment="1">
      <alignment vertical="center" wrapText="1"/>
    </xf>
    <xf numFmtId="0" fontId="32" fillId="0" borderId="1" xfId="0" applyFont="1" applyBorder="1" applyAlignment="1">
      <alignment vertical="top" wrapText="1"/>
    </xf>
    <xf numFmtId="166" fontId="32" fillId="0" borderId="1" xfId="0" applyNumberFormat="1" applyFont="1" applyBorder="1" applyAlignment="1">
      <alignment vertical="top" wrapText="1"/>
    </xf>
    <xf numFmtId="166" fontId="32" fillId="0" borderId="1" xfId="1" applyNumberFormat="1" applyFont="1" applyBorder="1" applyAlignment="1">
      <alignment vertical="top" wrapText="1"/>
    </xf>
    <xf numFmtId="17" fontId="32" fillId="0" borderId="1" xfId="0" applyNumberFormat="1" applyFont="1" applyBorder="1" applyAlignment="1">
      <alignment vertical="top" wrapText="1"/>
    </xf>
    <xf numFmtId="166" fontId="31" fillId="0" borderId="1" xfId="0" applyNumberFormat="1" applyFont="1" applyBorder="1" applyAlignment="1">
      <alignment vertical="top" wrapText="1"/>
    </xf>
    <xf numFmtId="166" fontId="31" fillId="0" borderId="1" xfId="0" applyNumberFormat="1" applyFont="1" applyBorder="1" applyAlignment="1">
      <alignment vertical="center" wrapText="1"/>
    </xf>
    <xf numFmtId="166" fontId="31" fillId="0" borderId="1" xfId="1" applyNumberFormat="1" applyFont="1" applyFill="1" applyBorder="1" applyAlignment="1">
      <alignment vertical="top" wrapText="1"/>
    </xf>
    <xf numFmtId="166" fontId="33" fillId="0" borderId="1" xfId="0" applyNumberFormat="1" applyFont="1" applyBorder="1" applyAlignment="1">
      <alignment vertical="center" wrapText="1"/>
    </xf>
    <xf numFmtId="49" fontId="33" fillId="0" borderId="1" xfId="0" applyNumberFormat="1" applyFont="1" applyBorder="1" applyAlignment="1">
      <alignment vertical="top" wrapText="1"/>
    </xf>
    <xf numFmtId="0" fontId="33" fillId="0" borderId="1" xfId="0" applyFont="1" applyBorder="1" applyAlignment="1">
      <alignment vertical="top" wrapText="1"/>
    </xf>
    <xf numFmtId="0" fontId="32" fillId="0" borderId="3" xfId="0" applyFont="1" applyBorder="1" applyAlignment="1">
      <alignment vertical="top" wrapText="1"/>
    </xf>
    <xf numFmtId="166" fontId="32" fillId="0" borderId="3" xfId="0" applyNumberFormat="1" applyFont="1" applyBorder="1" applyAlignment="1">
      <alignment vertical="top" wrapText="1"/>
    </xf>
    <xf numFmtId="166" fontId="32" fillId="0" borderId="3" xfId="1" applyNumberFormat="1" applyFont="1" applyBorder="1" applyAlignment="1">
      <alignment vertical="top" wrapText="1"/>
    </xf>
    <xf numFmtId="0" fontId="34" fillId="0" borderId="1" xfId="0" applyFont="1" applyBorder="1"/>
    <xf numFmtId="0" fontId="35" fillId="0" borderId="1" xfId="0" applyFont="1" applyBorder="1" applyAlignment="1">
      <alignment horizontal="left"/>
    </xf>
    <xf numFmtId="0" fontId="35" fillId="0" borderId="1" xfId="0" applyFont="1" applyBorder="1"/>
    <xf numFmtId="0" fontId="38" fillId="0" borderId="1" xfId="0" applyFont="1" applyBorder="1" applyAlignment="1">
      <alignment horizontal="left"/>
    </xf>
    <xf numFmtId="168" fontId="34" fillId="0" borderId="1" xfId="1" applyNumberFormat="1" applyFont="1" applyBorder="1"/>
    <xf numFmtId="168" fontId="35" fillId="0" borderId="1" xfId="1" applyNumberFormat="1" applyFont="1" applyFill="1" applyBorder="1"/>
    <xf numFmtId="168" fontId="35" fillId="0" borderId="9" xfId="1" applyNumberFormat="1" applyFont="1" applyFill="1" applyBorder="1"/>
    <xf numFmtId="0" fontId="0" fillId="0" borderId="3" xfId="0" applyBorder="1"/>
    <xf numFmtId="166" fontId="9" fillId="0" borderId="4" xfId="1" applyNumberFormat="1" applyFont="1" applyBorder="1"/>
    <xf numFmtId="172" fontId="39" fillId="5" borderId="1" xfId="0" applyNumberFormat="1" applyFont="1" applyFill="1" applyBorder="1"/>
    <xf numFmtId="172" fontId="38" fillId="0" borderId="1" xfId="0" applyNumberFormat="1" applyFont="1" applyBorder="1"/>
    <xf numFmtId="172" fontId="39" fillId="0" borderId="1" xfId="0" applyNumberFormat="1" applyFont="1" applyBorder="1"/>
    <xf numFmtId="0" fontId="0" fillId="5" borderId="1" xfId="0" applyFill="1" applyBorder="1"/>
    <xf numFmtId="14" fontId="29" fillId="5" borderId="1" xfId="0" applyNumberFormat="1" applyFont="1" applyFill="1" applyBorder="1"/>
    <xf numFmtId="0" fontId="29" fillId="5" borderId="1" xfId="0" applyFont="1" applyFill="1" applyBorder="1"/>
    <xf numFmtId="3" fontId="30" fillId="13" borderId="1" xfId="0" applyNumberFormat="1" applyFont="1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42" fillId="0" borderId="1" xfId="0" applyFont="1" applyBorder="1" applyAlignment="1">
      <alignment vertical="center"/>
    </xf>
    <xf numFmtId="0" fontId="0" fillId="3" borderId="1" xfId="0" applyFill="1" applyBorder="1" applyAlignment="1">
      <alignment vertical="center"/>
    </xf>
    <xf numFmtId="4" fontId="11" fillId="3" borderId="1" xfId="0" applyNumberFormat="1" applyFont="1" applyFill="1" applyBorder="1" applyAlignment="1">
      <alignment horizontal="center" vertical="center"/>
    </xf>
    <xf numFmtId="174" fontId="43" fillId="0" borderId="0" xfId="0" applyNumberFormat="1" applyFont="1"/>
    <xf numFmtId="0" fontId="43" fillId="0" borderId="0" xfId="0" applyFont="1"/>
    <xf numFmtId="0" fontId="44" fillId="0" borderId="0" xfId="0" applyFont="1"/>
    <xf numFmtId="3" fontId="43" fillId="0" borderId="0" xfId="0" applyNumberFormat="1" applyFont="1"/>
    <xf numFmtId="175" fontId="44" fillId="0" borderId="0" xfId="0" applyNumberFormat="1" applyFont="1"/>
    <xf numFmtId="174" fontId="44" fillId="14" borderId="48" xfId="3" applyNumberFormat="1" applyFont="1" applyFill="1" applyBorder="1"/>
    <xf numFmtId="176" fontId="44" fillId="14" borderId="48" xfId="3" applyNumberFormat="1" applyFont="1" applyFill="1" applyBorder="1"/>
    <xf numFmtId="3" fontId="44" fillId="14" borderId="48" xfId="4" applyNumberFormat="1" applyFont="1" applyFill="1" applyBorder="1"/>
    <xf numFmtId="176" fontId="43" fillId="0" borderId="0" xfId="3" applyNumberFormat="1" applyFont="1"/>
    <xf numFmtId="0" fontId="47" fillId="0" borderId="1" xfId="0" applyFont="1" applyBorder="1" applyAlignment="1">
      <alignment vertical="center"/>
    </xf>
    <xf numFmtId="0" fontId="40" fillId="5" borderId="1" xfId="0" applyFont="1" applyFill="1" applyBorder="1"/>
    <xf numFmtId="174" fontId="47" fillId="5" borderId="1" xfId="3" applyNumberFormat="1" applyFont="1" applyFill="1" applyBorder="1" applyAlignment="1">
      <alignment vertical="top" wrapText="1"/>
    </xf>
    <xf numFmtId="0" fontId="0" fillId="0" borderId="0" xfId="0" applyAlignment="1">
      <alignment horizontal="left"/>
    </xf>
    <xf numFmtId="41" fontId="0" fillId="0" borderId="0" xfId="0" applyNumberFormat="1"/>
    <xf numFmtId="168" fontId="6" fillId="5" borderId="0" xfId="1" applyNumberFormat="1" applyFont="1" applyFill="1" applyBorder="1"/>
    <xf numFmtId="0" fontId="51" fillId="0" borderId="0" xfId="0" applyFont="1"/>
    <xf numFmtId="3" fontId="51" fillId="0" borderId="0" xfId="0" applyNumberFormat="1" applyFont="1"/>
    <xf numFmtId="0" fontId="51" fillId="0" borderId="0" xfId="0" applyFont="1" applyAlignment="1">
      <alignment horizontal="center"/>
    </xf>
    <xf numFmtId="0" fontId="51" fillId="0" borderId="0" xfId="0" applyFont="1" applyAlignment="1">
      <alignment horizontal="right"/>
    </xf>
    <xf numFmtId="166" fontId="11" fillId="3" borderId="1" xfId="1" applyNumberFormat="1" applyFont="1" applyFill="1" applyBorder="1"/>
    <xf numFmtId="166" fontId="12" fillId="3" borderId="1" xfId="0" applyNumberFormat="1" applyFont="1" applyFill="1" applyBorder="1" applyAlignment="1">
      <alignment vertical="top" wrapText="1"/>
    </xf>
    <xf numFmtId="166" fontId="13" fillId="3" borderId="1" xfId="1" applyNumberFormat="1" applyFont="1" applyFill="1" applyBorder="1"/>
    <xf numFmtId="166" fontId="13" fillId="3" borderId="2" xfId="1" applyNumberFormat="1" applyFont="1" applyFill="1" applyBorder="1"/>
    <xf numFmtId="175" fontId="0" fillId="0" borderId="0" xfId="0" applyNumberFormat="1"/>
    <xf numFmtId="168" fontId="35" fillId="0" borderId="0" xfId="1" applyNumberFormat="1" applyFont="1" applyFill="1" applyBorder="1"/>
    <xf numFmtId="168" fontId="0" fillId="0" borderId="0" xfId="0" applyNumberFormat="1"/>
    <xf numFmtId="166" fontId="0" fillId="0" borderId="0" xfId="0" applyNumberFormat="1"/>
    <xf numFmtId="0" fontId="34" fillId="5" borderId="1" xfId="0" applyFont="1" applyFill="1" applyBorder="1"/>
    <xf numFmtId="180" fontId="30" fillId="12" borderId="4" xfId="0" applyNumberFormat="1" applyFont="1" applyFill="1" applyBorder="1" applyAlignment="1">
      <alignment horizontal="center" vertical="center" wrapText="1"/>
    </xf>
    <xf numFmtId="180" fontId="0" fillId="0" borderId="0" xfId="0" applyNumberFormat="1"/>
    <xf numFmtId="3" fontId="0" fillId="5" borderId="1" xfId="0" applyNumberFormat="1" applyFill="1" applyBorder="1"/>
    <xf numFmtId="168" fontId="39" fillId="5" borderId="1" xfId="1" applyNumberFormat="1" applyFont="1" applyFill="1" applyBorder="1"/>
    <xf numFmtId="0" fontId="38" fillId="5" borderId="1" xfId="0" applyFont="1" applyFill="1" applyBorder="1" applyAlignment="1">
      <alignment horizontal="left"/>
    </xf>
    <xf numFmtId="0" fontId="34" fillId="0" borderId="9" xfId="0" applyFont="1" applyBorder="1"/>
    <xf numFmtId="172" fontId="39" fillId="5" borderId="9" xfId="0" applyNumberFormat="1" applyFont="1" applyFill="1" applyBorder="1"/>
    <xf numFmtId="173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174" fontId="46" fillId="5" borderId="1" xfId="3" applyNumberFormat="1" applyFont="1" applyFill="1" applyBorder="1" applyAlignment="1">
      <alignment vertical="top" wrapText="1"/>
    </xf>
    <xf numFmtId="174" fontId="46" fillId="5" borderId="2" xfId="3" applyNumberFormat="1" applyFont="1" applyFill="1" applyBorder="1" applyAlignment="1">
      <alignment vertical="top" wrapText="1"/>
    </xf>
    <xf numFmtId="0" fontId="47" fillId="5" borderId="1" xfId="0" applyFont="1" applyFill="1" applyBorder="1" applyAlignment="1">
      <alignment vertical="center"/>
    </xf>
    <xf numFmtId="3" fontId="47" fillId="5" borderId="1" xfId="0" applyNumberFormat="1" applyFont="1" applyFill="1" applyBorder="1" applyAlignment="1">
      <alignment vertical="center"/>
    </xf>
    <xf numFmtId="0" fontId="47" fillId="5" borderId="0" xfId="0" applyFont="1" applyFill="1" applyAlignment="1">
      <alignment vertical="center"/>
    </xf>
    <xf numFmtId="174" fontId="47" fillId="5" borderId="0" xfId="3" applyNumberFormat="1" applyFont="1" applyFill="1" applyAlignment="1">
      <alignment vertical="top" wrapText="1"/>
    </xf>
    <xf numFmtId="175" fontId="50" fillId="5" borderId="50" xfId="4" applyNumberFormat="1" applyFont="1" applyFill="1" applyBorder="1" applyAlignment="1">
      <alignment horizontal="center" vertical="center"/>
    </xf>
    <xf numFmtId="0" fontId="47" fillId="5" borderId="1" xfId="0" applyFont="1" applyFill="1" applyBorder="1"/>
    <xf numFmtId="14" fontId="29" fillId="5" borderId="0" xfId="0" applyNumberFormat="1" applyFont="1" applyFill="1"/>
    <xf numFmtId="0" fontId="42" fillId="5" borderId="1" xfId="0" applyFont="1" applyFill="1" applyBorder="1"/>
    <xf numFmtId="3" fontId="47" fillId="5" borderId="1" xfId="0" applyNumberFormat="1" applyFont="1" applyFill="1" applyBorder="1"/>
    <xf numFmtId="175" fontId="50" fillId="5" borderId="1" xfId="4" applyNumberFormat="1" applyFont="1" applyFill="1" applyBorder="1"/>
    <xf numFmtId="178" fontId="47" fillId="5" borderId="1" xfId="3" applyNumberFormat="1" applyFont="1" applyFill="1" applyBorder="1" applyAlignment="1">
      <alignment vertical="top" wrapText="1"/>
    </xf>
    <xf numFmtId="0" fontId="47" fillId="5" borderId="0" xfId="0" applyFont="1" applyFill="1"/>
    <xf numFmtId="0" fontId="5" fillId="5" borderId="1" xfId="0" applyFont="1" applyFill="1" applyBorder="1"/>
    <xf numFmtId="174" fontId="47" fillId="5" borderId="0" xfId="0" applyNumberFormat="1" applyFont="1" applyFill="1"/>
    <xf numFmtId="0" fontId="50" fillId="5" borderId="0" xfId="0" applyFont="1" applyFill="1"/>
    <xf numFmtId="3" fontId="47" fillId="5" borderId="0" xfId="0" applyNumberFormat="1" applyFont="1" applyFill="1"/>
    <xf numFmtId="175" fontId="50" fillId="5" borderId="0" xfId="0" applyNumberFormat="1" applyFont="1" applyFill="1"/>
    <xf numFmtId="174" fontId="50" fillId="16" borderId="48" xfId="3" applyNumberFormat="1" applyFont="1" applyFill="1" applyBorder="1"/>
    <xf numFmtId="176" fontId="50" fillId="16" borderId="48" xfId="3" applyNumberFormat="1" applyFont="1" applyFill="1" applyBorder="1"/>
    <xf numFmtId="3" fontId="50" fillId="16" borderId="48" xfId="4" applyNumberFormat="1" applyFont="1" applyFill="1" applyBorder="1"/>
    <xf numFmtId="175" fontId="50" fillId="16" borderId="48" xfId="4" applyNumberFormat="1" applyFont="1" applyFill="1" applyBorder="1"/>
    <xf numFmtId="176" fontId="47" fillId="5" borderId="0" xfId="3" applyNumberFormat="1" applyFont="1" applyFill="1"/>
    <xf numFmtId="0" fontId="5" fillId="5" borderId="0" xfId="0" applyFont="1" applyFill="1" applyAlignment="1">
      <alignment vertical="center"/>
    </xf>
    <xf numFmtId="174" fontId="46" fillId="5" borderId="0" xfId="0" applyNumberFormat="1" applyFont="1" applyFill="1"/>
    <xf numFmtId="3" fontId="50" fillId="5" borderId="0" xfId="0" applyNumberFormat="1" applyFont="1" applyFill="1"/>
    <xf numFmtId="174" fontId="53" fillId="16" borderId="48" xfId="3" applyNumberFormat="1" applyFont="1" applyFill="1" applyBorder="1"/>
    <xf numFmtId="175" fontId="50" fillId="16" borderId="49" xfId="4" applyNumberFormat="1" applyFont="1" applyFill="1" applyBorder="1"/>
    <xf numFmtId="168" fontId="5" fillId="5" borderId="1" xfId="0" applyNumberFormat="1" applyFont="1" applyFill="1" applyBorder="1"/>
    <xf numFmtId="168" fontId="5" fillId="5" borderId="1" xfId="1" applyNumberFormat="1" applyFont="1" applyFill="1" applyBorder="1"/>
    <xf numFmtId="0" fontId="2" fillId="5" borderId="1" xfId="0" applyFont="1" applyFill="1" applyBorder="1"/>
    <xf numFmtId="175" fontId="47" fillId="5" borderId="1" xfId="5" applyNumberFormat="1" applyFont="1" applyFill="1" applyBorder="1" applyProtection="1"/>
    <xf numFmtId="0" fontId="5" fillId="5" borderId="0" xfId="0" applyFont="1" applyFill="1"/>
    <xf numFmtId="175" fontId="50" fillId="5" borderId="0" xfId="4" applyNumberFormat="1" applyFont="1" applyFill="1" applyBorder="1"/>
    <xf numFmtId="175" fontId="5" fillId="5" borderId="1" xfId="1" applyNumberFormat="1" applyFont="1" applyFill="1" applyBorder="1"/>
    <xf numFmtId="175" fontId="50" fillId="5" borderId="0" xfId="4" applyNumberFormat="1" applyFont="1" applyFill="1" applyBorder="1" applyAlignment="1">
      <alignment horizontal="center" vertical="center"/>
    </xf>
    <xf numFmtId="174" fontId="5" fillId="5" borderId="0" xfId="0" applyNumberFormat="1" applyFont="1" applyFill="1"/>
    <xf numFmtId="3" fontId="5" fillId="5" borderId="0" xfId="0" applyNumberFormat="1" applyFont="1" applyFill="1"/>
    <xf numFmtId="175" fontId="50" fillId="5" borderId="1" xfId="4" applyNumberFormat="1" applyFont="1" applyFill="1" applyBorder="1" applyAlignment="1">
      <alignment horizontal="center" vertical="center"/>
    </xf>
    <xf numFmtId="168" fontId="5" fillId="5" borderId="0" xfId="1" applyNumberFormat="1" applyFont="1" applyFill="1" applyBorder="1"/>
    <xf numFmtId="168" fontId="29" fillId="5" borderId="0" xfId="1" applyNumberFormat="1" applyFont="1" applyFill="1" applyBorder="1"/>
    <xf numFmtId="166" fontId="33" fillId="0" borderId="1" xfId="1" applyNumberFormat="1" applyFont="1" applyFill="1" applyBorder="1" applyAlignment="1">
      <alignment vertical="top" wrapText="1"/>
    </xf>
    <xf numFmtId="166" fontId="33" fillId="0" borderId="1" xfId="0" applyNumberFormat="1" applyFont="1" applyBorder="1" applyAlignment="1">
      <alignment vertical="top" wrapText="1"/>
    </xf>
    <xf numFmtId="0" fontId="55" fillId="0" borderId="1" xfId="0" applyFont="1" applyBorder="1" applyAlignment="1">
      <alignment vertical="center"/>
    </xf>
    <xf numFmtId="175" fontId="44" fillId="14" borderId="48" xfId="4" applyNumberFormat="1" applyFont="1" applyFill="1" applyBorder="1"/>
    <xf numFmtId="168" fontId="41" fillId="5" borderId="1" xfId="1" applyNumberFormat="1" applyFont="1" applyFill="1" applyBorder="1"/>
    <xf numFmtId="168" fontId="41" fillId="5" borderId="9" xfId="1" applyNumberFormat="1" applyFont="1" applyFill="1" applyBorder="1"/>
    <xf numFmtId="168" fontId="0" fillId="0" borderId="1" xfId="1" applyNumberFormat="1" applyFont="1" applyFill="1" applyBorder="1"/>
    <xf numFmtId="168" fontId="41" fillId="0" borderId="1" xfId="1" applyNumberFormat="1" applyFont="1" applyFill="1" applyBorder="1"/>
    <xf numFmtId="168" fontId="0" fillId="0" borderId="1" xfId="1" applyNumberFormat="1" applyFont="1" applyBorder="1"/>
    <xf numFmtId="0" fontId="42" fillId="0" borderId="1" xfId="0" applyFont="1" applyBorder="1"/>
    <xf numFmtId="14" fontId="0" fillId="0" borderId="1" xfId="0" applyNumberFormat="1" applyBorder="1"/>
    <xf numFmtId="168" fontId="0" fillId="5" borderId="1" xfId="1" applyNumberFormat="1" applyFont="1" applyFill="1" applyBorder="1"/>
    <xf numFmtId="168" fontId="52" fillId="5" borderId="1" xfId="1" applyNumberFormat="1" applyFont="1" applyFill="1" applyBorder="1"/>
    <xf numFmtId="168" fontId="29" fillId="5" borderId="1" xfId="1" applyNumberFormat="1" applyFont="1" applyFill="1" applyBorder="1"/>
    <xf numFmtId="0" fontId="43" fillId="0" borderId="1" xfId="0" applyFont="1" applyBorder="1" applyAlignment="1">
      <alignment horizontal="left" vertical="center"/>
    </xf>
    <xf numFmtId="14" fontId="27" fillId="0" borderId="1" xfId="0" applyNumberFormat="1" applyFont="1" applyBorder="1"/>
    <xf numFmtId="164" fontId="0" fillId="0" borderId="1" xfId="11" applyFont="1" applyBorder="1"/>
    <xf numFmtId="0" fontId="47" fillId="5" borderId="2" xfId="0" applyFont="1" applyFill="1" applyBorder="1"/>
    <xf numFmtId="4" fontId="11" fillId="5" borderId="1" xfId="0" applyNumberFormat="1" applyFont="1" applyFill="1" applyBorder="1" applyAlignment="1">
      <alignment horizontal="center" vertical="center"/>
    </xf>
    <xf numFmtId="166" fontId="11" fillId="5" borderId="1" xfId="1" applyNumberFormat="1" applyFont="1" applyFill="1" applyBorder="1"/>
    <xf numFmtId="166" fontId="12" fillId="5" borderId="1" xfId="0" applyNumberFormat="1" applyFont="1" applyFill="1" applyBorder="1" applyAlignment="1">
      <alignment vertical="top" wrapText="1"/>
    </xf>
    <xf numFmtId="166" fontId="13" fillId="5" borderId="1" xfId="1" applyNumberFormat="1" applyFont="1" applyFill="1" applyBorder="1"/>
    <xf numFmtId="166" fontId="13" fillId="5" borderId="2" xfId="1" applyNumberFormat="1" applyFont="1" applyFill="1" applyBorder="1"/>
    <xf numFmtId="0" fontId="0" fillId="5" borderId="1" xfId="0" applyFill="1" applyBorder="1" applyAlignment="1">
      <alignment vertical="center"/>
    </xf>
    <xf numFmtId="166" fontId="9" fillId="5" borderId="1" xfId="1" applyNumberFormat="1" applyFont="1" applyFill="1" applyBorder="1"/>
    <xf numFmtId="166" fontId="14" fillId="5" borderId="1" xfId="0" applyNumberFormat="1" applyFont="1" applyFill="1" applyBorder="1" applyAlignment="1">
      <alignment vertical="top" wrapText="1"/>
    </xf>
    <xf numFmtId="14" fontId="7" fillId="2" borderId="3" xfId="0" applyNumberFormat="1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left" vertical="center" wrapText="1"/>
    </xf>
    <xf numFmtId="3" fontId="7" fillId="2" borderId="3" xfId="0" applyNumberFormat="1" applyFont="1" applyFill="1" applyBorder="1" applyAlignment="1">
      <alignment vertical="center" wrapText="1"/>
    </xf>
    <xf numFmtId="4" fontId="7" fillId="2" borderId="3" xfId="0" applyNumberFormat="1" applyFont="1" applyFill="1" applyBorder="1" applyAlignment="1">
      <alignment horizontal="right" vertical="center" wrapText="1"/>
    </xf>
    <xf numFmtId="167" fontId="7" fillId="2" borderId="3" xfId="0" applyNumberFormat="1" applyFont="1" applyFill="1" applyBorder="1" applyAlignment="1">
      <alignment horizontal="right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right" vertical="center" wrapText="1"/>
    </xf>
    <xf numFmtId="175" fontId="48" fillId="15" borderId="0" xfId="4" applyNumberFormat="1" applyFont="1" applyFill="1" applyBorder="1" applyAlignment="1">
      <alignment horizontal="right" vertical="center"/>
    </xf>
    <xf numFmtId="178" fontId="54" fillId="0" borderId="0" xfId="3" applyNumberFormat="1" applyFont="1" applyAlignment="1">
      <alignment vertical="top" wrapText="1"/>
    </xf>
    <xf numFmtId="0" fontId="34" fillId="5" borderId="9" xfId="0" applyFont="1" applyFill="1" applyBorder="1"/>
    <xf numFmtId="179" fontId="59" fillId="0" borderId="1" xfId="4" applyNumberFormat="1" applyFont="1" applyBorder="1" applyAlignment="1">
      <alignment horizontal="right" vertical="top" wrapText="1"/>
    </xf>
    <xf numFmtId="168" fontId="56" fillId="5" borderId="1" xfId="0" applyNumberFormat="1" applyFont="1" applyFill="1" applyBorder="1"/>
    <xf numFmtId="164" fontId="55" fillId="0" borderId="1" xfId="11" applyFont="1" applyBorder="1" applyAlignment="1">
      <alignment vertical="center"/>
    </xf>
    <xf numFmtId="14" fontId="47" fillId="0" borderId="1" xfId="0" applyNumberFormat="1" applyFont="1" applyBorder="1" applyAlignment="1">
      <alignment vertical="center"/>
    </xf>
    <xf numFmtId="168" fontId="47" fillId="0" borderId="1" xfId="5" applyNumberFormat="1" applyFont="1" applyBorder="1" applyProtection="1"/>
    <xf numFmtId="168" fontId="0" fillId="0" borderId="0" xfId="1" applyNumberFormat="1" applyFont="1" applyBorder="1"/>
    <xf numFmtId="179" fontId="60" fillId="15" borderId="1" xfId="4" applyNumberFormat="1" applyFont="1" applyFill="1" applyBorder="1"/>
    <xf numFmtId="0" fontId="49" fillId="5" borderId="1" xfId="0" applyFont="1" applyFill="1" applyBorder="1"/>
    <xf numFmtId="168" fontId="42" fillId="5" borderId="1" xfId="1" applyNumberFormat="1" applyFont="1" applyFill="1" applyBorder="1"/>
    <xf numFmtId="168" fontId="49" fillId="5" borderId="1" xfId="1" applyNumberFormat="1" applyFont="1" applyFill="1" applyBorder="1" applyProtection="1"/>
    <xf numFmtId="168" fontId="42" fillId="0" borderId="1" xfId="1" applyNumberFormat="1" applyFont="1" applyBorder="1"/>
    <xf numFmtId="0" fontId="56" fillId="5" borderId="1" xfId="0" applyFont="1" applyFill="1" applyBorder="1"/>
    <xf numFmtId="0" fontId="61" fillId="5" borderId="1" xfId="0" applyFont="1" applyFill="1" applyBorder="1"/>
    <xf numFmtId="3" fontId="47" fillId="5" borderId="9" xfId="0" applyNumberFormat="1" applyFont="1" applyFill="1" applyBorder="1"/>
    <xf numFmtId="184" fontId="7" fillId="2" borderId="1" xfId="0" applyNumberFormat="1" applyFont="1" applyFill="1" applyBorder="1" applyAlignment="1">
      <alignment horizontal="center" vertical="center" wrapText="1"/>
    </xf>
    <xf numFmtId="14" fontId="63" fillId="0" borderId="1" xfId="3" applyNumberFormat="1" applyFont="1" applyBorder="1" applyAlignment="1">
      <alignment horizontal="right"/>
    </xf>
    <xf numFmtId="0" fontId="64" fillId="0" borderId="1" xfId="0" applyFont="1" applyBorder="1"/>
    <xf numFmtId="1" fontId="65" fillId="0" borderId="1" xfId="0" applyNumberFormat="1" applyFont="1" applyBorder="1" applyAlignment="1">
      <alignment wrapText="1"/>
    </xf>
    <xf numFmtId="166" fontId="64" fillId="0" borderId="1" xfId="0" applyNumberFormat="1" applyFont="1" applyBorder="1"/>
    <xf numFmtId="185" fontId="64" fillId="0" borderId="1" xfId="0" applyNumberFormat="1" applyFont="1" applyBorder="1" applyAlignment="1">
      <alignment horizontal="right"/>
    </xf>
    <xf numFmtId="0" fontId="64" fillId="0" borderId="1" xfId="0" applyFont="1" applyBorder="1" applyAlignment="1">
      <alignment horizontal="right"/>
    </xf>
    <xf numFmtId="0" fontId="64" fillId="0" borderId="1" xfId="0" applyFont="1" applyBorder="1" applyAlignment="1">
      <alignment horizontal="right" vertical="center"/>
    </xf>
    <xf numFmtId="1" fontId="65" fillId="0" borderId="1" xfId="0" applyNumberFormat="1" applyFont="1" applyBorder="1"/>
    <xf numFmtId="0" fontId="65" fillId="0" borderId="1" xfId="0" applyFont="1" applyBorder="1" applyAlignment="1">
      <alignment vertical="top" wrapText="1"/>
    </xf>
    <xf numFmtId="0" fontId="66" fillId="0" borderId="1" xfId="0" applyFont="1" applyBorder="1" applyAlignment="1">
      <alignment horizontal="right"/>
    </xf>
    <xf numFmtId="0" fontId="67" fillId="0" borderId="1" xfId="0" applyFont="1" applyBorder="1" applyAlignment="1">
      <alignment horizontal="right"/>
    </xf>
    <xf numFmtId="14" fontId="64" fillId="0" borderId="1" xfId="3" applyNumberFormat="1" applyFont="1" applyBorder="1" applyAlignment="1">
      <alignment horizontal="right"/>
    </xf>
    <xf numFmtId="166" fontId="64" fillId="0" borderId="1" xfId="0" applyNumberFormat="1" applyFont="1" applyBorder="1" applyAlignment="1">
      <alignment vertical="center"/>
    </xf>
    <xf numFmtId="185" fontId="64" fillId="0" borderId="1" xfId="0" applyNumberFormat="1" applyFont="1" applyBorder="1" applyAlignment="1">
      <alignment horizontal="right" vertical="center"/>
    </xf>
    <xf numFmtId="0" fontId="66" fillId="0" borderId="1" xfId="0" applyFont="1" applyBorder="1"/>
    <xf numFmtId="0" fontId="68" fillId="0" borderId="1" xfId="0" applyFont="1" applyBorder="1" applyAlignment="1">
      <alignment horizontal="right"/>
    </xf>
    <xf numFmtId="185" fontId="64" fillId="0" borderId="1" xfId="1" applyNumberFormat="1" applyFont="1" applyFill="1" applyBorder="1" applyAlignment="1">
      <alignment horizontal="right"/>
    </xf>
    <xf numFmtId="166" fontId="66" fillId="0" borderId="1" xfId="1" applyNumberFormat="1" applyFont="1" applyFill="1" applyBorder="1" applyAlignment="1"/>
    <xf numFmtId="49" fontId="64" fillId="0" borderId="1" xfId="0" applyNumberFormat="1" applyFont="1" applyBorder="1" applyAlignment="1">
      <alignment horizontal="right" vertical="top" wrapText="1"/>
    </xf>
    <xf numFmtId="14" fontId="69" fillId="0" borderId="1" xfId="3" applyNumberFormat="1" applyFont="1" applyBorder="1" applyAlignment="1">
      <alignment horizontal="right"/>
    </xf>
    <xf numFmtId="14" fontId="66" fillId="0" borderId="1" xfId="3" applyNumberFormat="1" applyFont="1" applyBorder="1" applyAlignment="1">
      <alignment horizontal="right"/>
    </xf>
    <xf numFmtId="49" fontId="64" fillId="3" borderId="1" xfId="0" applyNumberFormat="1" applyFont="1" applyFill="1" applyBorder="1" applyAlignment="1">
      <alignment horizontal="right" vertical="top" wrapText="1"/>
    </xf>
    <xf numFmtId="0" fontId="66" fillId="0" borderId="1" xfId="12" applyFont="1" applyBorder="1"/>
    <xf numFmtId="0" fontId="64" fillId="18" borderId="1" xfId="0" applyFont="1" applyFill="1" applyBorder="1" applyAlignment="1">
      <alignment horizontal="right"/>
    </xf>
    <xf numFmtId="178" fontId="63" fillId="0" borderId="1" xfId="3" applyNumberFormat="1" applyFont="1" applyBorder="1" applyAlignment="1">
      <alignment horizontal="right" vertical="top"/>
    </xf>
    <xf numFmtId="14" fontId="64" fillId="0" borderId="1" xfId="3" applyNumberFormat="1" applyFont="1" applyBorder="1" applyAlignment="1">
      <alignment horizontal="right" vertical="top" wrapText="1"/>
    </xf>
    <xf numFmtId="0" fontId="66" fillId="0" borderId="1" xfId="0" applyFont="1" applyBorder="1" applyAlignment="1">
      <alignment horizontal="left" vertical="center"/>
    </xf>
    <xf numFmtId="0" fontId="64" fillId="18" borderId="1" xfId="0" applyFont="1" applyFill="1" applyBorder="1"/>
    <xf numFmtId="14" fontId="66" fillId="0" borderId="1" xfId="3" applyNumberFormat="1" applyFont="1" applyBorder="1" applyAlignment="1">
      <alignment horizontal="right" vertical="top" wrapText="1"/>
    </xf>
    <xf numFmtId="0" fontId="64" fillId="0" borderId="0" xfId="0" applyFont="1"/>
    <xf numFmtId="184" fontId="63" fillId="0" borderId="1" xfId="3" applyNumberFormat="1" applyFont="1" applyBorder="1"/>
    <xf numFmtId="3" fontId="64" fillId="0" borderId="1" xfId="0" applyNumberFormat="1" applyFont="1" applyBorder="1"/>
    <xf numFmtId="1" fontId="64" fillId="0" borderId="1" xfId="0" applyNumberFormat="1" applyFont="1" applyBorder="1"/>
    <xf numFmtId="173" fontId="64" fillId="0" borderId="1" xfId="0" applyNumberFormat="1" applyFont="1" applyBorder="1"/>
    <xf numFmtId="0" fontId="64" fillId="0" borderId="2" xfId="0" applyFont="1" applyBorder="1"/>
    <xf numFmtId="184" fontId="64" fillId="0" borderId="1" xfId="3" applyNumberFormat="1" applyFont="1" applyBorder="1"/>
    <xf numFmtId="3" fontId="64" fillId="0" borderId="1" xfId="0" applyNumberFormat="1" applyFont="1" applyBorder="1" applyAlignment="1">
      <alignment vertical="center"/>
    </xf>
    <xf numFmtId="1" fontId="64" fillId="0" borderId="1" xfId="0" applyNumberFormat="1" applyFont="1" applyBorder="1" applyAlignment="1">
      <alignment vertical="center"/>
    </xf>
    <xf numFmtId="0" fontId="64" fillId="0" borderId="1" xfId="0" applyFont="1" applyBorder="1" applyAlignment="1">
      <alignment vertical="center"/>
    </xf>
    <xf numFmtId="183" fontId="64" fillId="0" borderId="1" xfId="0" applyNumberFormat="1" applyFont="1" applyBorder="1"/>
    <xf numFmtId="0" fontId="64" fillId="5" borderId="1" xfId="0" applyFont="1" applyFill="1" applyBorder="1"/>
    <xf numFmtId="0" fontId="64" fillId="3" borderId="1" xfId="0" applyFont="1" applyFill="1" applyBorder="1"/>
    <xf numFmtId="168" fontId="64" fillId="0" borderId="2" xfId="1" applyNumberFormat="1" applyFont="1" applyBorder="1"/>
    <xf numFmtId="168" fontId="64" fillId="0" borderId="1" xfId="1" applyNumberFormat="1" applyFont="1" applyBorder="1"/>
    <xf numFmtId="182" fontId="64" fillId="0" borderId="1" xfId="0" applyNumberFormat="1" applyFont="1" applyBorder="1"/>
    <xf numFmtId="181" fontId="64" fillId="5" borderId="1" xfId="1" applyNumberFormat="1" applyFont="1" applyFill="1" applyBorder="1"/>
    <xf numFmtId="0" fontId="32" fillId="13" borderId="34" xfId="0" applyFont="1" applyFill="1" applyBorder="1" applyAlignment="1">
      <alignment vertical="top" wrapText="1"/>
    </xf>
    <xf numFmtId="49" fontId="31" fillId="19" borderId="1" xfId="0" applyNumberFormat="1" applyFont="1" applyFill="1" applyBorder="1" applyAlignment="1">
      <alignment vertical="top" wrapText="1"/>
    </xf>
    <xf numFmtId="166" fontId="31" fillId="19" borderId="1" xfId="0" applyNumberFormat="1" applyFont="1" applyFill="1" applyBorder="1" applyAlignment="1">
      <alignment vertical="top" wrapText="1"/>
    </xf>
    <xf numFmtId="166" fontId="31" fillId="19" borderId="1" xfId="0" applyNumberFormat="1" applyFont="1" applyFill="1" applyBorder="1" applyAlignment="1">
      <alignment vertical="center" wrapText="1"/>
    </xf>
    <xf numFmtId="166" fontId="31" fillId="19" borderId="1" xfId="1" applyNumberFormat="1" applyFont="1" applyFill="1" applyBorder="1" applyAlignment="1">
      <alignment vertical="top" wrapText="1"/>
    </xf>
    <xf numFmtId="14" fontId="57" fillId="5" borderId="1" xfId="0" applyNumberFormat="1" applyFont="1" applyFill="1" applyBorder="1"/>
    <xf numFmtId="0" fontId="57" fillId="5" borderId="1" xfId="0" applyFont="1" applyFill="1" applyBorder="1"/>
    <xf numFmtId="0" fontId="58" fillId="5" borderId="1" xfId="3" applyFont="1" applyFill="1" applyBorder="1"/>
    <xf numFmtId="0" fontId="59" fillId="5" borderId="1" xfId="3" applyFont="1" applyFill="1" applyBorder="1"/>
    <xf numFmtId="179" fontId="59" fillId="5" borderId="1" xfId="4" applyNumberFormat="1" applyFont="1" applyFill="1" applyBorder="1" applyAlignment="1">
      <alignment horizontal="right" vertical="top" wrapText="1"/>
    </xf>
    <xf numFmtId="178" fontId="59" fillId="5" borderId="1" xfId="3" applyNumberFormat="1" applyFont="1" applyFill="1" applyBorder="1" applyAlignment="1">
      <alignment vertical="top" wrapText="1"/>
    </xf>
    <xf numFmtId="178" fontId="59" fillId="5" borderId="1" xfId="3" applyNumberFormat="1" applyFont="1" applyFill="1" applyBorder="1" applyAlignment="1">
      <alignment vertical="top"/>
    </xf>
    <xf numFmtId="175" fontId="44" fillId="5" borderId="1" xfId="4" applyNumberFormat="1" applyFont="1" applyFill="1" applyBorder="1"/>
    <xf numFmtId="175" fontId="44" fillId="5" borderId="0" xfId="4" applyNumberFormat="1" applyFont="1" applyFill="1" applyBorder="1"/>
    <xf numFmtId="178" fontId="59" fillId="5" borderId="2" xfId="3" applyNumberFormat="1" applyFont="1" applyFill="1" applyBorder="1" applyAlignment="1">
      <alignment vertical="top" wrapText="1"/>
    </xf>
    <xf numFmtId="178" fontId="59" fillId="5" borderId="55" xfId="3" applyNumberFormat="1" applyFont="1" applyFill="1" applyBorder="1" applyAlignment="1">
      <alignment vertical="top" wrapText="1"/>
    </xf>
    <xf numFmtId="178" fontId="59" fillId="5" borderId="56" xfId="3" applyNumberFormat="1" applyFont="1" applyFill="1" applyBorder="1" applyAlignment="1">
      <alignment vertical="top" wrapText="1"/>
    </xf>
    <xf numFmtId="0" fontId="47" fillId="5" borderId="0" xfId="0" applyFont="1" applyFill="1" applyBorder="1"/>
    <xf numFmtId="14" fontId="0" fillId="0" borderId="1" xfId="0" applyNumberFormat="1" applyBorder="1" applyAlignment="1">
      <alignment vertical="center"/>
    </xf>
    <xf numFmtId="0" fontId="70" fillId="0" borderId="1" xfId="0" applyFont="1" applyBorder="1" applyAlignment="1">
      <alignment vertical="center"/>
    </xf>
    <xf numFmtId="0" fontId="70" fillId="5" borderId="1" xfId="0" applyFont="1" applyFill="1" applyBorder="1" applyAlignment="1">
      <alignment vertical="center"/>
    </xf>
    <xf numFmtId="0" fontId="71" fillId="5" borderId="1" xfId="0" applyFont="1" applyFill="1" applyBorder="1" applyAlignment="1">
      <alignment vertical="center"/>
    </xf>
    <xf numFmtId="0" fontId="0" fillId="0" borderId="4" xfId="0" applyBorder="1"/>
    <xf numFmtId="14" fontId="0" fillId="5" borderId="1" xfId="0" applyNumberFormat="1" applyFill="1" applyBorder="1"/>
    <xf numFmtId="0" fontId="47" fillId="0" borderId="9" xfId="0" applyFont="1" applyBorder="1"/>
    <xf numFmtId="14" fontId="27" fillId="17" borderId="1" xfId="0" applyNumberFormat="1" applyFont="1" applyFill="1" applyBorder="1" applyAlignment="1">
      <alignment horizontal="right"/>
    </xf>
    <xf numFmtId="168" fontId="0" fillId="0" borderId="3" xfId="1" applyNumberFormat="1" applyFont="1" applyFill="1" applyBorder="1"/>
    <xf numFmtId="168" fontId="41" fillId="0" borderId="3" xfId="1" applyNumberFormat="1" applyFont="1" applyFill="1" applyBorder="1"/>
    <xf numFmtId="168" fontId="0" fillId="0" borderId="4" xfId="1" applyNumberFormat="1" applyFont="1" applyFill="1" applyBorder="1"/>
    <xf numFmtId="168" fontId="41" fillId="0" borderId="4" xfId="1" applyNumberFormat="1" applyFont="1" applyFill="1" applyBorder="1"/>
    <xf numFmtId="14" fontId="42" fillId="17" borderId="1" xfId="0" applyNumberFormat="1" applyFont="1" applyFill="1" applyBorder="1"/>
    <xf numFmtId="168" fontId="42" fillId="0" borderId="1" xfId="1" applyNumberFormat="1" applyFont="1" applyFill="1" applyBorder="1"/>
    <xf numFmtId="168" fontId="62" fillId="0" borderId="1" xfId="1" applyNumberFormat="1" applyFont="1" applyFill="1" applyBorder="1"/>
    <xf numFmtId="0" fontId="61" fillId="0" borderId="1" xfId="0" applyFont="1" applyBorder="1"/>
    <xf numFmtId="14" fontId="49" fillId="5" borderId="1" xfId="0" applyNumberFormat="1" applyFont="1" applyFill="1" applyBorder="1" applyAlignment="1">
      <alignment horizontal="right" vertical="center"/>
    </xf>
    <xf numFmtId="0" fontId="41" fillId="0" borderId="1" xfId="0" applyFont="1" applyBorder="1"/>
    <xf numFmtId="168" fontId="0" fillId="0" borderId="2" xfId="1" applyNumberFormat="1" applyFont="1" applyBorder="1"/>
    <xf numFmtId="168" fontId="41" fillId="5" borderId="2" xfId="1" applyNumberFormat="1" applyFont="1" applyFill="1" applyBorder="1"/>
    <xf numFmtId="0" fontId="0" fillId="0" borderId="30" xfId="0" applyBorder="1"/>
    <xf numFmtId="3" fontId="50" fillId="16" borderId="57" xfId="4" applyNumberFormat="1" applyFont="1" applyFill="1" applyBorder="1"/>
    <xf numFmtId="175" fontId="50" fillId="16" borderId="58" xfId="4" applyNumberFormat="1" applyFont="1" applyFill="1" applyBorder="1"/>
    <xf numFmtId="3" fontId="50" fillId="16" borderId="1" xfId="4" applyNumberFormat="1" applyFont="1" applyFill="1" applyBorder="1"/>
    <xf numFmtId="0" fontId="0" fillId="3" borderId="0" xfId="0" applyFill="1"/>
    <xf numFmtId="1" fontId="47" fillId="5" borderId="1" xfId="0" applyNumberFormat="1" applyFont="1" applyFill="1" applyBorder="1" applyAlignment="1">
      <alignment vertical="center"/>
    </xf>
    <xf numFmtId="173" fontId="47" fillId="5" borderId="1" xfId="0" applyNumberFormat="1" applyFont="1" applyFill="1" applyBorder="1" applyAlignment="1">
      <alignment vertical="center"/>
    </xf>
    <xf numFmtId="0" fontId="0" fillId="0" borderId="0" xfId="0" applyNumberFormat="1"/>
    <xf numFmtId="171" fontId="37" fillId="0" borderId="1" xfId="3" applyNumberFormat="1" applyFont="1" applyBorder="1" applyAlignment="1"/>
    <xf numFmtId="168" fontId="39" fillId="0" borderId="1" xfId="1" applyNumberFormat="1" applyFont="1" applyBorder="1"/>
    <xf numFmtId="171" fontId="37" fillId="20" borderId="1" xfId="3" applyNumberFormat="1" applyFont="1" applyFill="1" applyBorder="1" applyAlignment="1"/>
    <xf numFmtId="0" fontId="35" fillId="20" borderId="1" xfId="0" applyFont="1" applyFill="1" applyBorder="1" applyAlignment="1">
      <alignment horizontal="left"/>
    </xf>
    <xf numFmtId="172" fontId="39" fillId="20" borderId="9" xfId="0" applyNumberFormat="1" applyFont="1" applyFill="1" applyBorder="1"/>
    <xf numFmtId="172" fontId="38" fillId="20" borderId="1" xfId="0" applyNumberFormat="1" applyFont="1" applyFill="1" applyBorder="1"/>
    <xf numFmtId="168" fontId="35" fillId="20" borderId="1" xfId="1" applyNumberFormat="1" applyFont="1" applyFill="1" applyBorder="1"/>
    <xf numFmtId="168" fontId="34" fillId="20" borderId="1" xfId="1" applyNumberFormat="1" applyFont="1" applyFill="1" applyBorder="1"/>
    <xf numFmtId="3" fontId="0" fillId="20" borderId="1" xfId="0" applyNumberFormat="1" applyFill="1" applyBorder="1"/>
    <xf numFmtId="0" fontId="0" fillId="20" borderId="1" xfId="0" applyFill="1" applyBorder="1"/>
    <xf numFmtId="172" fontId="34" fillId="5" borderId="1" xfId="0" applyNumberFormat="1" applyFont="1" applyFill="1" applyBorder="1" applyAlignment="1">
      <alignment vertical="top"/>
    </xf>
    <xf numFmtId="0" fontId="43" fillId="0" borderId="9" xfId="0" applyFont="1" applyBorder="1" applyAlignment="1">
      <alignment horizontal="left" vertical="center"/>
    </xf>
    <xf numFmtId="0" fontId="38" fillId="20" borderId="1" xfId="0" applyFont="1" applyFill="1" applyBorder="1" applyAlignment="1">
      <alignment horizontal="left"/>
    </xf>
    <xf numFmtId="0" fontId="34" fillId="20" borderId="1" xfId="0" applyFont="1" applyFill="1" applyBorder="1"/>
    <xf numFmtId="172" fontId="39" fillId="20" borderId="1" xfId="0" applyNumberFormat="1" applyFont="1" applyFill="1" applyBorder="1"/>
    <xf numFmtId="3" fontId="0" fillId="3" borderId="1" xfId="0" applyNumberFormat="1" applyFill="1" applyBorder="1"/>
    <xf numFmtId="0" fontId="0" fillId="3" borderId="30" xfId="0" applyFill="1" applyBorder="1"/>
    <xf numFmtId="168" fontId="1" fillId="5" borderId="1" xfId="1" applyNumberFormat="1" applyFont="1" applyFill="1" applyBorder="1"/>
    <xf numFmtId="168" fontId="62" fillId="5" borderId="1" xfId="1" applyNumberFormat="1" applyFont="1" applyFill="1" applyBorder="1"/>
    <xf numFmtId="168" fontId="34" fillId="5" borderId="1" xfId="1" applyNumberFormat="1" applyFont="1" applyFill="1" applyBorder="1"/>
    <xf numFmtId="0" fontId="43" fillId="5" borderId="1" xfId="0" applyFont="1" applyFill="1" applyBorder="1" applyAlignment="1">
      <alignment horizontal="left" vertical="center"/>
    </xf>
    <xf numFmtId="0" fontId="6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72" fillId="0" borderId="0" xfId="0" applyFont="1" applyAlignment="1">
      <alignment horizontal="right" vertical="center"/>
    </xf>
    <xf numFmtId="17" fontId="72" fillId="0" borderId="0" xfId="0" applyNumberFormat="1" applyFont="1" applyAlignment="1">
      <alignment vertical="center"/>
    </xf>
    <xf numFmtId="17" fontId="72" fillId="0" borderId="0" xfId="0" applyNumberFormat="1" applyFont="1" applyAlignment="1">
      <alignment horizontal="left" vertical="center"/>
    </xf>
    <xf numFmtId="0" fontId="72" fillId="0" borderId="22" xfId="0" applyFont="1" applyBorder="1" applyAlignment="1">
      <alignment vertical="center"/>
    </xf>
    <xf numFmtId="0" fontId="61" fillId="11" borderId="6" xfId="0" applyFont="1" applyFill="1" applyBorder="1" applyAlignment="1">
      <alignment vertical="center"/>
    </xf>
    <xf numFmtId="0" fontId="61" fillId="11" borderId="7" xfId="0" applyFont="1" applyFill="1" applyBorder="1" applyAlignment="1">
      <alignment vertical="center"/>
    </xf>
    <xf numFmtId="0" fontId="61" fillId="11" borderId="8" xfId="0" applyFont="1" applyFill="1" applyBorder="1" applyAlignment="1">
      <alignment vertical="center"/>
    </xf>
    <xf numFmtId="0" fontId="61" fillId="11" borderId="27" xfId="0" applyFont="1" applyFill="1" applyBorder="1" applyAlignment="1">
      <alignment vertical="center"/>
    </xf>
    <xf numFmtId="0" fontId="72" fillId="11" borderId="28" xfId="0" applyFont="1" applyFill="1" applyBorder="1" applyAlignment="1">
      <alignment horizontal="center" vertical="center"/>
    </xf>
    <xf numFmtId="0" fontId="72" fillId="11" borderId="9" xfId="0" applyFont="1" applyFill="1" applyBorder="1" applyAlignment="1">
      <alignment horizontal="center" vertical="center"/>
    </xf>
    <xf numFmtId="0" fontId="72" fillId="11" borderId="10" xfId="0" applyFont="1" applyFill="1" applyBorder="1" applyAlignment="1">
      <alignment horizontal="center" vertical="center"/>
    </xf>
    <xf numFmtId="0" fontId="72" fillId="11" borderId="11" xfId="0" applyFont="1" applyFill="1" applyBorder="1" applyAlignment="1">
      <alignment horizontal="center" vertical="center"/>
    </xf>
    <xf numFmtId="0" fontId="72" fillId="11" borderId="29" xfId="0" applyFont="1" applyFill="1" applyBorder="1" applyAlignment="1">
      <alignment horizontal="center" vertical="center"/>
    </xf>
    <xf numFmtId="171" fontId="73" fillId="0" borderId="1" xfId="3" applyNumberFormat="1" applyFont="1" applyBorder="1" applyAlignment="1"/>
    <xf numFmtId="166" fontId="61" fillId="0" borderId="16" xfId="0" applyNumberFormat="1" applyFont="1" applyBorder="1"/>
    <xf numFmtId="168" fontId="43" fillId="0" borderId="1" xfId="1" applyNumberFormat="1" applyFont="1" applyFill="1" applyBorder="1"/>
    <xf numFmtId="0" fontId="43" fillId="0" borderId="1" xfId="0" applyFont="1" applyBorder="1" applyAlignment="1">
      <alignment horizontal="left"/>
    </xf>
    <xf numFmtId="0" fontId="47" fillId="0" borderId="1" xfId="0" applyFont="1" applyBorder="1"/>
    <xf numFmtId="168" fontId="47" fillId="0" borderId="1" xfId="1" applyNumberFormat="1" applyFont="1" applyBorder="1"/>
    <xf numFmtId="0" fontId="43" fillId="5" borderId="1" xfId="0" applyFont="1" applyFill="1" applyBorder="1" applyAlignment="1">
      <alignment horizontal="left"/>
    </xf>
    <xf numFmtId="171" fontId="73" fillId="20" borderId="1" xfId="3" applyNumberFormat="1" applyFont="1" applyFill="1" applyBorder="1" applyAlignment="1"/>
    <xf numFmtId="0" fontId="43" fillId="20" borderId="1" xfId="0" applyFont="1" applyFill="1" applyBorder="1" applyAlignment="1">
      <alignment horizontal="left"/>
    </xf>
    <xf numFmtId="168" fontId="47" fillId="20" borderId="1" xfId="1" applyNumberFormat="1" applyFont="1" applyFill="1" applyBorder="1"/>
    <xf numFmtId="168" fontId="43" fillId="20" borderId="1" xfId="1" applyNumberFormat="1" applyFont="1" applyFill="1" applyBorder="1"/>
    <xf numFmtId="168" fontId="43" fillId="0" borderId="9" xfId="1" applyNumberFormat="1" applyFont="1" applyFill="1" applyBorder="1"/>
    <xf numFmtId="171" fontId="73" fillId="2" borderId="1" xfId="3" applyNumberFormat="1" applyFont="1" applyFill="1" applyBorder="1"/>
    <xf numFmtId="1" fontId="73" fillId="0" borderId="1" xfId="3" applyNumberFormat="1" applyFont="1" applyBorder="1"/>
    <xf numFmtId="0" fontId="43" fillId="2" borderId="1" xfId="0" applyFont="1" applyFill="1" applyBorder="1" applyAlignment="1">
      <alignment horizontal="left"/>
    </xf>
    <xf numFmtId="168" fontId="47" fillId="2" borderId="1" xfId="1" applyNumberFormat="1" applyFont="1" applyFill="1" applyBorder="1"/>
    <xf numFmtId="168" fontId="43" fillId="2" borderId="1" xfId="1" applyNumberFormat="1" applyFont="1" applyFill="1" applyBorder="1"/>
    <xf numFmtId="171" fontId="73" fillId="0" borderId="1" xfId="3" applyNumberFormat="1" applyFont="1" applyBorder="1"/>
    <xf numFmtId="0" fontId="43" fillId="0" borderId="4" xfId="0" applyFont="1" applyBorder="1" applyAlignment="1">
      <alignment horizontal="left"/>
    </xf>
    <xf numFmtId="14" fontId="42" fillId="0" borderId="1" xfId="0" applyNumberFormat="1" applyFont="1" applyBorder="1" applyAlignment="1">
      <alignment horizontal="left" vertical="center"/>
    </xf>
    <xf numFmtId="0" fontId="42" fillId="0" borderId="1" xfId="0" applyFont="1" applyBorder="1" applyAlignment="1">
      <alignment horizontal="center" vertical="center"/>
    </xf>
    <xf numFmtId="3" fontId="42" fillId="0" borderId="9" xfId="0" applyNumberFormat="1" applyFont="1" applyBorder="1" applyAlignment="1">
      <alignment vertical="center"/>
    </xf>
    <xf numFmtId="0" fontId="47" fillId="5" borderId="1" xfId="0" applyFont="1" applyFill="1" applyBorder="1" applyAlignment="1">
      <alignment horizontal="left" vertical="center"/>
    </xf>
    <xf numFmtId="14" fontId="72" fillId="6" borderId="6" xfId="0" applyNumberFormat="1" applyFont="1" applyFill="1" applyBorder="1" applyAlignment="1">
      <alignment horizontal="left" vertical="center"/>
    </xf>
    <xf numFmtId="0" fontId="62" fillId="6" borderId="7" xfId="0" applyFont="1" applyFill="1" applyBorder="1" applyAlignment="1">
      <alignment vertical="center"/>
    </xf>
    <xf numFmtId="0" fontId="72" fillId="6" borderId="7" xfId="0" applyFont="1" applyFill="1" applyBorder="1" applyAlignment="1">
      <alignment vertical="center"/>
    </xf>
    <xf numFmtId="43" fontId="62" fillId="6" borderId="33" xfId="0" applyNumberFormat="1" applyFont="1" applyFill="1" applyBorder="1" applyAlignment="1">
      <alignment vertical="center"/>
    </xf>
    <xf numFmtId="0" fontId="62" fillId="6" borderId="33" xfId="0" applyFont="1" applyFill="1" applyBorder="1" applyAlignment="1">
      <alignment vertical="center"/>
    </xf>
    <xf numFmtId="0" fontId="42" fillId="0" borderId="34" xfId="0" applyFont="1" applyBorder="1" applyAlignment="1">
      <alignment vertical="center"/>
    </xf>
    <xf numFmtId="0" fontId="42" fillId="0" borderId="35" xfId="0" applyFont="1" applyBorder="1" applyAlignment="1">
      <alignment vertical="center"/>
    </xf>
    <xf numFmtId="3" fontId="62" fillId="0" borderId="36" xfId="0" applyNumberFormat="1" applyFont="1" applyBorder="1" applyAlignment="1">
      <alignment vertical="center"/>
    </xf>
    <xf numFmtId="0" fontId="62" fillId="0" borderId="0" xfId="0" applyFont="1" applyAlignment="1">
      <alignment vertical="center"/>
    </xf>
    <xf numFmtId="168" fontId="47" fillId="0" borderId="0" xfId="1" applyNumberFormat="1" applyFont="1" applyBorder="1"/>
    <xf numFmtId="3" fontId="62" fillId="0" borderId="0" xfId="0" applyNumberFormat="1" applyFont="1" applyAlignment="1">
      <alignment vertical="center"/>
    </xf>
    <xf numFmtId="0" fontId="74" fillId="0" borderId="0" xfId="0" applyFont="1" applyAlignment="1">
      <alignment vertical="center"/>
    </xf>
    <xf numFmtId="0" fontId="75" fillId="0" borderId="0" xfId="0" applyFont="1" applyAlignment="1">
      <alignment horizontal="center" vertical="center"/>
    </xf>
    <xf numFmtId="0" fontId="76" fillId="0" borderId="0" xfId="0" applyFont="1" applyAlignment="1">
      <alignment vertical="center"/>
    </xf>
    <xf numFmtId="0" fontId="42" fillId="0" borderId="0" xfId="0" applyFont="1"/>
    <xf numFmtId="0" fontId="61" fillId="0" borderId="0" xfId="0" applyFont="1"/>
    <xf numFmtId="166" fontId="42" fillId="0" borderId="0" xfId="0" applyNumberFormat="1" applyFont="1"/>
    <xf numFmtId="17" fontId="61" fillId="0" borderId="0" xfId="0" applyNumberFormat="1" applyFont="1" applyAlignment="1">
      <alignment horizontal="center"/>
    </xf>
    <xf numFmtId="0" fontId="78" fillId="0" borderId="39" xfId="0" applyFont="1" applyBorder="1" applyAlignment="1">
      <alignment vertical="center"/>
    </xf>
    <xf numFmtId="14" fontId="42" fillId="0" borderId="0" xfId="0" applyNumberFormat="1" applyFont="1"/>
    <xf numFmtId="0" fontId="62" fillId="0" borderId="39" xfId="0" applyFont="1" applyBorder="1" applyAlignment="1">
      <alignment vertical="center"/>
    </xf>
    <xf numFmtId="0" fontId="78" fillId="0" borderId="43" xfId="0" applyFont="1" applyBorder="1" applyAlignment="1">
      <alignment vertical="center"/>
    </xf>
    <xf numFmtId="166" fontId="61" fillId="0" borderId="0" xfId="0" applyNumberFormat="1" applyFont="1"/>
    <xf numFmtId="0" fontId="42" fillId="0" borderId="52" xfId="0" applyFont="1" applyBorder="1"/>
    <xf numFmtId="0" fontId="42" fillId="0" borderId="53" xfId="0" applyFont="1" applyBorder="1"/>
    <xf numFmtId="0" fontId="61" fillId="0" borderId="54" xfId="0" applyFont="1" applyBorder="1"/>
    <xf numFmtId="166" fontId="61" fillId="0" borderId="53" xfId="0" applyNumberFormat="1" applyFont="1" applyBorder="1"/>
    <xf numFmtId="166" fontId="61" fillId="0" borderId="30" xfId="0" applyNumberFormat="1" applyFont="1" applyBorder="1"/>
    <xf numFmtId="166" fontId="42" fillId="0" borderId="1" xfId="0" applyNumberFormat="1" applyFont="1" applyBorder="1"/>
    <xf numFmtId="166" fontId="42" fillId="0" borderId="30" xfId="0" applyNumberFormat="1" applyFont="1" applyBorder="1"/>
    <xf numFmtId="166" fontId="43" fillId="2" borderId="1" xfId="1" applyNumberFormat="1" applyFont="1" applyFill="1" applyBorder="1"/>
    <xf numFmtId="168" fontId="43" fillId="0" borderId="51" xfId="1" applyNumberFormat="1" applyFont="1" applyFill="1" applyBorder="1"/>
    <xf numFmtId="168" fontId="43" fillId="0" borderId="30" xfId="1" applyNumberFormat="1" applyFont="1" applyFill="1" applyBorder="1"/>
    <xf numFmtId="0" fontId="47" fillId="0" borderId="1" xfId="0" applyFont="1" applyBorder="1" applyAlignment="1">
      <alignment horizontal="left" vertical="center"/>
    </xf>
    <xf numFmtId="168" fontId="47" fillId="0" borderId="1" xfId="1" applyNumberFormat="1" applyFont="1" applyFill="1" applyBorder="1"/>
    <xf numFmtId="168" fontId="47" fillId="0" borderId="51" xfId="1" applyNumberFormat="1" applyFont="1" applyBorder="1"/>
    <xf numFmtId="14" fontId="42" fillId="0" borderId="1" xfId="0" applyNumberFormat="1" applyFont="1" applyBorder="1"/>
    <xf numFmtId="0" fontId="42" fillId="0" borderId="1" xfId="0" applyFont="1" applyBorder="1" applyAlignment="1">
      <alignment horizontal="center"/>
    </xf>
    <xf numFmtId="14" fontId="42" fillId="0" borderId="31" xfId="0" applyNumberFormat="1" applyFont="1" applyBorder="1"/>
    <xf numFmtId="0" fontId="42" fillId="0" borderId="47" xfId="0" applyFont="1" applyBorder="1" applyAlignment="1">
      <alignment horizontal="center"/>
    </xf>
    <xf numFmtId="0" fontId="42" fillId="0" borderId="40" xfId="0" applyFont="1" applyBorder="1"/>
    <xf numFmtId="166" fontId="42" fillId="0" borderId="47" xfId="0" applyNumberFormat="1" applyFont="1" applyBorder="1"/>
    <xf numFmtId="14" fontId="42" fillId="0" borderId="19" xfId="0" applyNumberFormat="1" applyFont="1" applyBorder="1"/>
    <xf numFmtId="0" fontId="42" fillId="0" borderId="32" xfId="0" applyFont="1" applyBorder="1"/>
    <xf numFmtId="166" fontId="42" fillId="0" borderId="32" xfId="0" applyNumberFormat="1" applyFont="1" applyBorder="1"/>
    <xf numFmtId="14" fontId="61" fillId="0" borderId="6" xfId="0" applyNumberFormat="1" applyFont="1" applyBorder="1"/>
    <xf numFmtId="0" fontId="61" fillId="0" borderId="7" xfId="0" applyFont="1" applyBorder="1"/>
    <xf numFmtId="0" fontId="61" fillId="0" borderId="8" xfId="0" applyFont="1" applyBorder="1"/>
    <xf numFmtId="166" fontId="61" fillId="0" borderId="45" xfId="0" applyNumberFormat="1" applyFont="1" applyBorder="1"/>
    <xf numFmtId="169" fontId="61" fillId="0" borderId="1" xfId="0" applyNumberFormat="1" applyFont="1" applyBorder="1"/>
    <xf numFmtId="0" fontId="42" fillId="0" borderId="45" xfId="0" applyFont="1" applyBorder="1"/>
    <xf numFmtId="166" fontId="61" fillId="0" borderId="1" xfId="0" applyNumberFormat="1" applyFont="1" applyBorder="1" applyAlignment="1">
      <alignment horizontal="right" wrapText="1"/>
    </xf>
    <xf numFmtId="0" fontId="61" fillId="0" borderId="45" xfId="0" applyFont="1" applyBorder="1"/>
    <xf numFmtId="166" fontId="42" fillId="0" borderId="27" xfId="0" applyNumberFormat="1" applyFont="1" applyBorder="1"/>
    <xf numFmtId="0" fontId="81" fillId="0" borderId="0" xfId="0" applyFont="1"/>
    <xf numFmtId="171" fontId="73" fillId="5" borderId="1" xfId="3" applyNumberFormat="1" applyFont="1" applyFill="1" applyBorder="1" applyAlignment="1"/>
    <xf numFmtId="168" fontId="47" fillId="5" borderId="1" xfId="1" applyNumberFormat="1" applyFont="1" applyFill="1" applyBorder="1"/>
    <xf numFmtId="168" fontId="43" fillId="5" borderId="1" xfId="1" applyNumberFormat="1" applyFont="1" applyFill="1" applyBorder="1"/>
    <xf numFmtId="0" fontId="0" fillId="5" borderId="0" xfId="0" applyFill="1"/>
    <xf numFmtId="0" fontId="0" fillId="5" borderId="30" xfId="0" applyFill="1" applyBorder="1"/>
    <xf numFmtId="14" fontId="82" fillId="5" borderId="1" xfId="3" applyNumberFormat="1" applyFont="1" applyFill="1" applyBorder="1" applyAlignment="1">
      <alignment horizontal="right"/>
    </xf>
    <xf numFmtId="0" fontId="81" fillId="5" borderId="1" xfId="0" applyFont="1" applyFill="1" applyBorder="1"/>
    <xf numFmtId="172" fontId="47" fillId="5" borderId="1" xfId="0" applyNumberFormat="1" applyFont="1" applyFill="1" applyBorder="1"/>
    <xf numFmtId="0" fontId="55" fillId="5" borderId="1" xfId="0" applyFont="1" applyFill="1" applyBorder="1" applyAlignment="1">
      <alignment vertical="center"/>
    </xf>
    <xf numFmtId="0" fontId="81" fillId="5" borderId="1" xfId="0" applyFont="1" applyFill="1" applyBorder="1" applyAlignment="1">
      <alignment vertical="center"/>
    </xf>
    <xf numFmtId="0" fontId="56" fillId="5" borderId="1" xfId="0" applyFont="1" applyFill="1" applyBorder="1" applyAlignment="1">
      <alignment vertical="center"/>
    </xf>
    <xf numFmtId="3" fontId="81" fillId="5" borderId="1" xfId="0" applyNumberFormat="1" applyFont="1" applyFill="1" applyBorder="1"/>
    <xf numFmtId="172" fontId="43" fillId="5" borderId="1" xfId="0" applyNumberFormat="1" applyFont="1" applyFill="1" applyBorder="1"/>
    <xf numFmtId="172" fontId="47" fillId="5" borderId="1" xfId="0" applyNumberFormat="1" applyFont="1" applyFill="1" applyBorder="1" applyAlignment="1">
      <alignment vertical="top"/>
    </xf>
    <xf numFmtId="168" fontId="81" fillId="5" borderId="1" xfId="1" applyNumberFormat="1" applyFont="1" applyFill="1" applyBorder="1"/>
    <xf numFmtId="186" fontId="81" fillId="5" borderId="1" xfId="0" applyNumberFormat="1" applyFont="1" applyFill="1" applyBorder="1"/>
    <xf numFmtId="0" fontId="62" fillId="5" borderId="1" xfId="0" applyFont="1" applyFill="1" applyBorder="1"/>
    <xf numFmtId="167" fontId="81" fillId="5" borderId="1" xfId="0" applyNumberFormat="1" applyFont="1" applyFill="1" applyBorder="1"/>
    <xf numFmtId="0" fontId="64" fillId="5" borderId="0" xfId="0" applyFont="1" applyFill="1"/>
    <xf numFmtId="0" fontId="83" fillId="5" borderId="1" xfId="0" applyFont="1" applyFill="1" applyBorder="1"/>
    <xf numFmtId="0" fontId="39" fillId="0" borderId="1" xfId="0" applyFont="1" applyBorder="1" applyAlignment="1">
      <alignment horizontal="left"/>
    </xf>
    <xf numFmtId="166" fontId="25" fillId="8" borderId="13" xfId="0" applyNumberFormat="1" applyFont="1" applyFill="1" applyBorder="1" applyAlignment="1">
      <alignment horizontal="center"/>
    </xf>
    <xf numFmtId="174" fontId="47" fillId="5" borderId="2" xfId="3" applyNumberFormat="1" applyFont="1" applyFill="1" applyBorder="1" applyAlignment="1">
      <alignment horizontal="center" vertical="top" wrapText="1"/>
    </xf>
    <xf numFmtId="174" fontId="47" fillId="5" borderId="46" xfId="3" applyNumberFormat="1" applyFont="1" applyFill="1" applyBorder="1" applyAlignment="1">
      <alignment horizontal="center" vertical="top" wrapText="1"/>
    </xf>
    <xf numFmtId="174" fontId="47" fillId="5" borderId="30" xfId="3" applyNumberFormat="1" applyFont="1" applyFill="1" applyBorder="1" applyAlignment="1">
      <alignment horizontal="center" vertical="top" wrapText="1"/>
    </xf>
    <xf numFmtId="0" fontId="50" fillId="5" borderId="0" xfId="0" applyFont="1" applyFill="1" applyAlignment="1">
      <alignment horizontal="center"/>
    </xf>
    <xf numFmtId="0" fontId="72" fillId="11" borderId="24" xfId="0" applyFont="1" applyFill="1" applyBorder="1" applyAlignment="1">
      <alignment horizontal="center" vertical="center"/>
    </xf>
    <xf numFmtId="0" fontId="72" fillId="11" borderId="25" xfId="0" applyFont="1" applyFill="1" applyBorder="1" applyAlignment="1">
      <alignment horizontal="center" vertical="center"/>
    </xf>
    <xf numFmtId="0" fontId="72" fillId="11" borderId="26" xfId="0" applyFont="1" applyFill="1" applyBorder="1" applyAlignment="1">
      <alignment horizontal="center" vertical="center"/>
    </xf>
    <xf numFmtId="0" fontId="77" fillId="0" borderId="11" xfId="0" applyFont="1" applyBorder="1" applyAlignment="1">
      <alignment horizontal="center" vertical="center"/>
    </xf>
    <xf numFmtId="0" fontId="77" fillId="0" borderId="37" xfId="0" applyFont="1" applyBorder="1" applyAlignment="1">
      <alignment horizontal="center" vertical="center"/>
    </xf>
    <xf numFmtId="0" fontId="77" fillId="0" borderId="38" xfId="0" applyFont="1" applyBorder="1" applyAlignment="1">
      <alignment horizontal="center" vertical="center"/>
    </xf>
    <xf numFmtId="166" fontId="78" fillId="0" borderId="40" xfId="0" applyNumberFormat="1" applyFont="1" applyBorder="1" applyAlignment="1">
      <alignment horizontal="left" vertical="center"/>
    </xf>
    <xf numFmtId="166" fontId="78" fillId="0" borderId="41" xfId="0" applyNumberFormat="1" applyFont="1" applyBorder="1" applyAlignment="1">
      <alignment horizontal="left" vertical="center"/>
    </xf>
    <xf numFmtId="49" fontId="79" fillId="0" borderId="0" xfId="0" applyNumberFormat="1" applyFont="1" applyAlignment="1">
      <alignment horizontal="left" vertical="center"/>
    </xf>
    <xf numFmtId="49" fontId="79" fillId="0" borderId="42" xfId="0" applyNumberFormat="1" applyFont="1" applyBorder="1" applyAlignment="1">
      <alignment horizontal="left" vertical="center"/>
    </xf>
    <xf numFmtId="166" fontId="78" fillId="0" borderId="22" xfId="0" applyNumberFormat="1" applyFont="1" applyBorder="1" applyAlignment="1">
      <alignment horizontal="center" vertical="center" wrapText="1"/>
    </xf>
    <xf numFmtId="166" fontId="78" fillId="0" borderId="44" xfId="0" applyNumberFormat="1" applyFont="1" applyBorder="1" applyAlignment="1">
      <alignment horizontal="center" vertical="center" wrapText="1"/>
    </xf>
  </cellXfs>
  <cellStyles count="13">
    <cellStyle name="Comma 2" xfId="8"/>
    <cellStyle name="Excel Built-in Comma" xfId="4"/>
    <cellStyle name="Excel Built-in Normal" xfId="3"/>
    <cellStyle name="Milliers" xfId="1" builtinId="3"/>
    <cellStyle name="Milliers [0]" xfId="11" builtinId="6"/>
    <cellStyle name="Milliers 2" xfId="5"/>
    <cellStyle name="Milliers 3" xfId="9"/>
    <cellStyle name="Milliers 4" xfId="6"/>
    <cellStyle name="Milliers 4 2" xfId="10"/>
    <cellStyle name="Normal" xfId="0" builtinId="0"/>
    <cellStyle name="Normal 2" xfId="7"/>
    <cellStyle name="Normal_Total expenses by date" xfId="2"/>
    <cellStyle name="Normal_Total expenses by date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17</xdr:col>
      <xdr:colOff>10333</xdr:colOff>
      <xdr:row>56</xdr:row>
      <xdr:rowOff>137160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948D037-60A4-448B-9DAA-15819C769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3620" y="1196340"/>
          <a:ext cx="7302673" cy="10058400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</xdr:colOff>
      <xdr:row>5</xdr:row>
      <xdr:rowOff>175260</xdr:rowOff>
    </xdr:from>
    <xdr:to>
      <xdr:col>28</xdr:col>
      <xdr:colOff>48433</xdr:colOff>
      <xdr:row>56</xdr:row>
      <xdr:rowOff>106680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E3FD69F6-1109-48B8-A2C9-8B76DAF3C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4060" y="1165860"/>
          <a:ext cx="7302673" cy="10058400"/>
        </a:xfrm>
        <a:prstGeom prst="rect">
          <a:avLst/>
        </a:prstGeom>
      </xdr:spPr>
    </xdr:pic>
    <xdr:clientData/>
  </xdr:twoCellAnchor>
  <xdr:twoCellAnchor editAs="oneCell">
    <xdr:from>
      <xdr:col>27</xdr:col>
      <xdr:colOff>594360</xdr:colOff>
      <xdr:row>19</xdr:row>
      <xdr:rowOff>106680</xdr:rowOff>
    </xdr:from>
    <xdr:to>
      <xdr:col>38</xdr:col>
      <xdr:colOff>604693</xdr:colOff>
      <xdr:row>69</xdr:row>
      <xdr:rowOff>152400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802C2B64-441B-40E3-B099-2781DE0A3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39720" y="3893820"/>
          <a:ext cx="7302673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457200</xdr:colOff>
      <xdr:row>1</xdr:row>
      <xdr:rowOff>63500</xdr:rowOff>
    </xdr:from>
    <xdr:to>
      <xdr:col>17</xdr:col>
      <xdr:colOff>495473</xdr:colOff>
      <xdr:row>57</xdr:row>
      <xdr:rowOff>165100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000" y="241300"/>
          <a:ext cx="7302673" cy="100584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ana Hajduchová" id="{98584D5A-8469-40CB-92DE-DDEA7199F951}" userId="05fcd02066e7ea79" providerId="Windows Liv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erveille Raison" refreshedDate="45875.320548379626" createdVersion="6" refreshedVersion="6" minRefreshableVersion="3" recordCount="16">
  <cacheSource type="worksheet">
    <worksheetSource ref="A1:E17" sheet="phone credit"/>
  </cacheSource>
  <cacheFields count="5">
    <cacheField name="Date+A1:E38" numFmtId="14">
      <sharedItems containsNonDate="0" containsDate="1" containsString="0" containsBlank="1" minDate="2025-07-16T00:00:00" maxDate="2025-08-01T00:00:00"/>
    </cacheField>
    <cacheField name="phone credit bought" numFmtId="3">
      <sharedItems containsString="0" containsBlank="1" containsNumber="1" containsInteger="1" minValue="5000" maxValue="25000"/>
    </cacheField>
    <cacheField name="distributed" numFmtId="3">
      <sharedItems containsString="0" containsBlank="1" containsNumber="1" containsInteger="1" minValue="5000" maxValue="20000"/>
    </cacheField>
    <cacheField name="balance" numFmtId="3">
      <sharedItems containsString="0" containsBlank="1" containsNumber="1" containsInteger="1" minValue="0" maxValue="25000"/>
    </cacheField>
    <cacheField name="name" numFmtId="0">
      <sharedItems containsBlank="1" count="14">
        <m/>
        <s v="Dovi"/>
        <s v="Parfaite"/>
        <s v="Donald-Roméo"/>
        <s v="Abraham"/>
        <s v="Romain"/>
        <s v="Roderlin"/>
        <s v="Evariste" u="1"/>
        <s v="Crepin" u="1"/>
        <s v="P29" u="1"/>
        <s v="T73" u="1"/>
        <s v="IT87" u="1"/>
        <s v="Donald-Romeo" u="1"/>
        <s v="G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er" refreshedDate="45876.437891435184" createdVersion="6" refreshedVersion="7" minRefreshableVersion="3" recordCount="38">
  <cacheSource type="worksheet">
    <worksheetSource ref="A1:J39" sheet="Cash journal"/>
  </cacheSource>
  <cacheFields count="10">
    <cacheField name="Date" numFmtId="14">
      <sharedItems containsSemiMixedTypes="0" containsNonDate="0" containsDate="1" containsString="0" minDate="2025-07-01T00:00:00" maxDate="2025-08-01T00:00:00"/>
    </cacheField>
    <cacheField name="Details" numFmtId="0">
      <sharedItems/>
    </cacheField>
    <cacheField name="Type of expenses" numFmtId="0">
      <sharedItems containsBlank="1"/>
    </cacheField>
    <cacheField name="Department " numFmtId="0">
      <sharedItems containsBlank="1"/>
    </cacheField>
    <cacheField name="Spent " numFmtId="168">
      <sharedItems containsString="0" containsBlank="1" containsNumber="1" containsInteger="1" minValue="-60000" maxValue="300000"/>
    </cacheField>
    <cacheField name="Received" numFmtId="168">
      <sharedItems containsString="0" containsBlank="1" containsNumber="1" containsInteger="1" minValue="14050" maxValue="950000"/>
    </cacheField>
    <cacheField name="Balance" numFmtId="168">
      <sharedItems containsSemiMixedTypes="0" containsString="0" containsNumber="1" containsInteger="1" minValue="6469" maxValue="956469"/>
    </cacheField>
    <cacheField name="Name" numFmtId="0">
      <sharedItems containsBlank="1" count="15">
        <m/>
        <s v="Parfaite"/>
        <s v="Roderlin"/>
        <s v="Evariste"/>
        <s v="Phone credit"/>
        <s v="P29"/>
        <s v="Abraham"/>
        <s v="Donald-Roméo"/>
        <s v="BCI"/>
        <s v="DOVI"/>
        <s v="T73"/>
        <s v="G12"/>
        <s v="Crepin" u="1"/>
        <s v="Romain" u="1"/>
        <s v="IT87" u="1"/>
      </sharedItems>
    </cacheField>
    <cacheField name="Receipt" numFmtId="0">
      <sharedItems containsBlank="1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erveille Raison" refreshedDate="45876.446297337963" createdVersion="6" refreshedVersion="6" minRefreshableVersion="3" recordCount="1372">
  <cacheSource type="worksheet">
    <worksheetSource ref="A1:O1373" sheet="Global data Juillet  2025"/>
  </cacheSource>
  <cacheFields count="16">
    <cacheField name="Date" numFmtId="0">
      <sharedItems containsSemiMixedTypes="0" containsNonDate="0" containsDate="1" containsString="0" minDate="2025-01-02T00:00:00" maxDate="2025-08-01T00:00:00" count="185">
        <d v="2025-01-02T00:00:00"/>
        <d v="2025-01-03T00:00:00"/>
        <d v="2025-01-06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3T00:00:00"/>
        <d v="2025-03-04T00:00:00"/>
        <d v="2025-03-05T00:00:00"/>
        <d v="2025-03-06T00:00:00"/>
        <d v="2025-03-07T00:00:00"/>
        <d v="2025-03-08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1T00:00:00"/>
        <d v="2025-04-01T00:00:00"/>
        <d v="2025-04-02T00:00:00"/>
        <d v="2025-04-03T00:00:00"/>
        <d v="2025-04-04T00:00:00"/>
        <d v="2025-04-05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3T00:00:00"/>
        <d v="2025-05-05T00:00:00"/>
        <d v="2025-05-06T00:00:00"/>
        <d v="2025-05-07T00:00:00"/>
        <d v="2025-05-08T00:00:00"/>
        <d v="2025-05-09T00:00:00"/>
        <d v="2025-05-10T00:00:00"/>
        <d v="2025-05-12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4T00:00:00"/>
        <d v="2025-05-25T00:00:00"/>
        <d v="2025-05-26T00:00:00"/>
        <d v="2025-05-27T00:00:00"/>
        <d v="2025-05-28T00:00:00"/>
        <d v="2025-05-29T00:00:00"/>
        <d v="2025-05-30T00:00:00"/>
        <d v="2025-05-31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3T00:00:00"/>
        <d v="2025-06-14T00:00:00"/>
        <d v="2025-06-15T00:00:00"/>
        <d v="2025-06-16T00:00:00"/>
        <d v="2025-06-17T00:00:00"/>
        <d v="2025-06-18T00:00:00"/>
        <d v="2025-06-19T00:00:00"/>
        <d v="2025-06-20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  <d v="2025-07-01T00:00:00"/>
        <d v="2025-07-02T00:00:00"/>
        <d v="2025-07-03T00:00:00"/>
        <d v="2025-07-04T00:00:00"/>
        <d v="2025-07-05T00:00:00"/>
        <d v="2025-07-06T00:00:00"/>
        <d v="2025-07-07T00:00:00"/>
        <d v="2025-07-08T00:00:00"/>
        <d v="2025-07-09T00:00:00"/>
        <d v="2025-07-10T00:00:00"/>
        <d v="2025-07-11T00:00:00"/>
        <d v="2025-07-14T00:00:00"/>
        <d v="2025-07-15T00:00:00"/>
        <d v="2025-07-16T00:00:00"/>
        <d v="2025-07-17T00:00:00"/>
        <d v="2025-07-18T00:00:00"/>
        <d v="2025-07-21T00:00:00"/>
        <d v="2025-07-22T00:00:00"/>
        <d v="2025-07-23T00:00:00"/>
        <d v="2025-07-24T00:00:00"/>
        <d v="2025-07-25T00:00:00"/>
        <d v="2025-07-28T00:00:00"/>
        <d v="2025-07-29T00:00:00"/>
        <d v="2025-07-30T00:00:00"/>
        <d v="2025-07-31T00:00:00"/>
      </sharedItems>
      <fieldGroup par="15" base="0">
        <rangePr groupBy="days" startDate="2025-01-02T00:00:00" endDate="2025-08-01T00:00:00"/>
        <groupItems count="368">
          <s v="&lt;02/01/2025"/>
          <s v="01-janv"/>
          <s v="02-janv"/>
          <s v="03-janv"/>
          <s v="04-janv"/>
          <s v="05-janv"/>
          <s v="06-janv"/>
          <s v="07-janv"/>
          <s v="08-janv"/>
          <s v="09-janv"/>
          <s v="10-janv"/>
          <s v="11-janv"/>
          <s v="12-janv"/>
          <s v="13-janv"/>
          <s v="14-janv"/>
          <s v="15-janv"/>
          <s v="16-janv"/>
          <s v="17-janv"/>
          <s v="18-janv"/>
          <s v="19-janv"/>
          <s v="20-janv"/>
          <s v="21-janv"/>
          <s v="22-janv"/>
          <s v="23-janv"/>
          <s v="24-janv"/>
          <s v="25-janv"/>
          <s v="26-janv"/>
          <s v="27-janv"/>
          <s v="28-janv"/>
          <s v="29-janv"/>
          <s v="30-janv"/>
          <s v="31-janv"/>
          <s v="01-févr"/>
          <s v="02-févr"/>
          <s v="03-févr"/>
          <s v="04-févr"/>
          <s v="05-févr"/>
          <s v="06-févr"/>
          <s v="07-févr"/>
          <s v="08-févr"/>
          <s v="09-févr"/>
          <s v="10-févr"/>
          <s v="11-févr"/>
          <s v="12-févr"/>
          <s v="13-févr"/>
          <s v="14-févr"/>
          <s v="15-févr"/>
          <s v="16-févr"/>
          <s v="17-févr"/>
          <s v="18-févr"/>
          <s v="19-févr"/>
          <s v="20-févr"/>
          <s v="21-févr"/>
          <s v="22-févr"/>
          <s v="23-févr"/>
          <s v="24-févr"/>
          <s v="25-févr"/>
          <s v="26-févr"/>
          <s v="27-févr"/>
          <s v="28-févr"/>
          <s v="29-févr"/>
          <s v="01-mars"/>
          <s v="02-mars"/>
          <s v="03-mars"/>
          <s v="04-mars"/>
          <s v="05-mars"/>
          <s v="06-mars"/>
          <s v="07-mars"/>
          <s v="08-mars"/>
          <s v="09-mars"/>
          <s v="10-mars"/>
          <s v="11-mars"/>
          <s v="12-mars"/>
          <s v="13-mars"/>
          <s v="14-mars"/>
          <s v="15-mars"/>
          <s v="16-mars"/>
          <s v="17-mars"/>
          <s v="18-mars"/>
          <s v="19-mars"/>
          <s v="20-mars"/>
          <s v="21-mars"/>
          <s v="22-mars"/>
          <s v="23-mars"/>
          <s v="24-mars"/>
          <s v="25-mars"/>
          <s v="26-mars"/>
          <s v="27-mars"/>
          <s v="28-mars"/>
          <s v="29-mars"/>
          <s v="30-mars"/>
          <s v="31-mars"/>
          <s v="01-avr"/>
          <s v="02-avr"/>
          <s v="03-avr"/>
          <s v="04-avr"/>
          <s v="05-avr"/>
          <s v="06-avr"/>
          <s v="07-avr"/>
          <s v="08-avr"/>
          <s v="09-avr"/>
          <s v="10-avr"/>
          <s v="11-avr"/>
          <s v="12-avr"/>
          <s v="13-avr"/>
          <s v="14-avr"/>
          <s v="15-avr"/>
          <s v="16-avr"/>
          <s v="17-avr"/>
          <s v="18-avr"/>
          <s v="19-avr"/>
          <s v="20-avr"/>
          <s v="21-avr"/>
          <s v="22-avr"/>
          <s v="23-avr"/>
          <s v="24-avr"/>
          <s v="25-avr"/>
          <s v="26-avr"/>
          <s v="27-avr"/>
          <s v="28-avr"/>
          <s v="29-avr"/>
          <s v="30-avr"/>
          <s v="01-mai"/>
          <s v="02-mai"/>
          <s v="03-mai"/>
          <s v="04-mai"/>
          <s v="05-mai"/>
          <s v="06-mai"/>
          <s v="07-mai"/>
          <s v="08-mai"/>
          <s v="09-mai"/>
          <s v="10-mai"/>
          <s v="11-mai"/>
          <s v="12-mai"/>
          <s v="13-mai"/>
          <s v="14-mai"/>
          <s v="15-mai"/>
          <s v="16-mai"/>
          <s v="17-mai"/>
          <s v="18-mai"/>
          <s v="19-mai"/>
          <s v="20-mai"/>
          <s v="21-mai"/>
          <s v="22-mai"/>
          <s v="23-mai"/>
          <s v="24-mai"/>
          <s v="25-mai"/>
          <s v="26-mai"/>
          <s v="27-mai"/>
          <s v="28-mai"/>
          <s v="29-mai"/>
          <s v="30-mai"/>
          <s v="31-mai"/>
          <s v="01-juin"/>
          <s v="02-juin"/>
          <s v="03-juin"/>
          <s v="04-juin"/>
          <s v="05-juin"/>
          <s v="06-juin"/>
          <s v="07-juin"/>
          <s v="08-juin"/>
          <s v="09-juin"/>
          <s v="10-juin"/>
          <s v="11-juin"/>
          <s v="12-juin"/>
          <s v="13-juin"/>
          <s v="14-juin"/>
          <s v="15-juin"/>
          <s v="16-juin"/>
          <s v="17-juin"/>
          <s v="18-juin"/>
          <s v="19-juin"/>
          <s v="20-juin"/>
          <s v="21-juin"/>
          <s v="22-juin"/>
          <s v="23-juin"/>
          <s v="24-juin"/>
          <s v="25-juin"/>
          <s v="26-juin"/>
          <s v="27-juin"/>
          <s v="28-juin"/>
          <s v="29-juin"/>
          <s v="30-juin"/>
          <s v="01-juil"/>
          <s v="02-juil"/>
          <s v="03-juil"/>
          <s v="04-juil"/>
          <s v="05-juil"/>
          <s v="06-juil"/>
          <s v="07-juil"/>
          <s v="08-juil"/>
          <s v="09-juil"/>
          <s v="10-juil"/>
          <s v="11-juil"/>
          <s v="12-juil"/>
          <s v="13-juil"/>
          <s v="14-juil"/>
          <s v="15-juil"/>
          <s v="16-juil"/>
          <s v="17-juil"/>
          <s v="18-juil"/>
          <s v="19-juil"/>
          <s v="20-juil"/>
          <s v="21-juil"/>
          <s v="22-juil"/>
          <s v="23-juil"/>
          <s v="24-juil"/>
          <s v="25-juil"/>
          <s v="26-juil"/>
          <s v="27-juil"/>
          <s v="28-juil"/>
          <s v="29-juil"/>
          <s v="30-juil"/>
          <s v="31-juil"/>
          <s v="01-août"/>
          <s v="02-août"/>
          <s v="03-août"/>
          <s v="04-août"/>
          <s v="05-août"/>
          <s v="06-août"/>
          <s v="07-août"/>
          <s v="08-août"/>
          <s v="09-août"/>
          <s v="10-août"/>
          <s v="11-août"/>
          <s v="12-août"/>
          <s v="13-août"/>
          <s v="14-août"/>
          <s v="15-août"/>
          <s v="16-août"/>
          <s v="17-août"/>
          <s v="18-août"/>
          <s v="19-août"/>
          <s v="20-août"/>
          <s v="21-août"/>
          <s v="22-août"/>
          <s v="23-août"/>
          <s v="24-août"/>
          <s v="25-août"/>
          <s v="26-août"/>
          <s v="27-août"/>
          <s v="28-août"/>
          <s v="29-août"/>
          <s v="30-août"/>
          <s v="31-août"/>
          <s v="01-sept"/>
          <s v="02-sept"/>
          <s v="03-sept"/>
          <s v="04-sept"/>
          <s v="05-sept"/>
          <s v="06-sept"/>
          <s v="07-sept"/>
          <s v="08-sept"/>
          <s v="09-sept"/>
          <s v="10-sept"/>
          <s v="11-sept"/>
          <s v="12-sept"/>
          <s v="13-sept"/>
          <s v="14-sept"/>
          <s v="15-sept"/>
          <s v="16-sept"/>
          <s v="17-sept"/>
          <s v="18-sept"/>
          <s v="19-sept"/>
          <s v="20-sept"/>
          <s v="21-sept"/>
          <s v="22-sept"/>
          <s v="23-sept"/>
          <s v="24-sept"/>
          <s v="25-sept"/>
          <s v="26-sept"/>
          <s v="27-sept"/>
          <s v="28-sept"/>
          <s v="29-sept"/>
          <s v="30-sep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éc"/>
          <s v="02-déc"/>
          <s v="03-déc"/>
          <s v="04-déc"/>
          <s v="05-déc"/>
          <s v="06-déc"/>
          <s v="07-déc"/>
          <s v="08-déc"/>
          <s v="09-déc"/>
          <s v="10-déc"/>
          <s v="11-déc"/>
          <s v="12-déc"/>
          <s v="13-déc"/>
          <s v="14-déc"/>
          <s v="15-déc"/>
          <s v="16-déc"/>
          <s v="17-déc"/>
          <s v="18-déc"/>
          <s v="19-déc"/>
          <s v="20-déc"/>
          <s v="21-déc"/>
          <s v="22-déc"/>
          <s v="23-déc"/>
          <s v="24-déc"/>
          <s v="25-déc"/>
          <s v="26-déc"/>
          <s v="27-déc"/>
          <s v="28-déc"/>
          <s v="29-déc"/>
          <s v="30-déc"/>
          <s v="31-déc"/>
          <s v="&gt;01/08/2025"/>
        </groupItems>
      </fieldGroup>
    </cacheField>
    <cacheField name="Details" numFmtId="0">
      <sharedItems/>
    </cacheField>
    <cacheField name="Type of expenses" numFmtId="0">
      <sharedItems containsBlank="1"/>
    </cacheField>
    <cacheField name="Department " numFmtId="0">
      <sharedItems containsBlank="1"/>
    </cacheField>
    <cacheField name="Spent  in XAF" numFmtId="0">
      <sharedItems containsString="0" containsBlank="1" containsNumber="1" minValue="-60000" maxValue="2107400"/>
    </cacheField>
    <cacheField name="Spent in $" numFmtId="0">
      <sharedItems containsString="0" containsBlank="1" containsNumber="1" minValue="-106.96283868534969" maxValue="3635.6672865852611"/>
    </cacheField>
    <cacheField name="Exchange Rate $" numFmtId="0">
      <sharedItems containsSemiMixedTypes="0" containsString="0" containsNumber="1" minValue="534.23810000000003" maxValue="613.82180000000005"/>
    </cacheField>
    <cacheField name="Name" numFmtId="0">
      <sharedItems/>
    </cacheField>
    <cacheField name="Receipt" numFmtId="0">
      <sharedItems/>
    </cacheField>
    <cacheField name="Project" numFmtId="0">
      <sharedItems/>
    </cacheField>
    <cacheField name="Donor" numFmtId="0">
      <sharedItems count="7">
        <s v="Wildcat 2024"/>
        <s v="OAK"/>
        <s v="Rufford"/>
        <s v="OAT"/>
        <s v="UE"/>
        <s v="Wildcat 2025"/>
        <s v="ELONGA"/>
      </sharedItems>
    </cacheField>
    <cacheField name="Country" numFmtId="0">
      <sharedItems/>
    </cacheField>
    <cacheField name="Receved in XAF" numFmtId="0">
      <sharedItems containsString="0" containsBlank="1" containsNumber="1" containsInteger="1" minValue="2898230" maxValue="17885797"/>
    </cacheField>
    <cacheField name="Receved  $" numFmtId="0">
      <sharedItems containsString="0" containsBlank="1" containsNumber="1" containsInteger="1" minValue="5000" maxValue="30000"/>
    </cacheField>
    <cacheField name="Comments" numFmtId="0">
      <sharedItems containsNonDate="0" containsString="0" containsBlank="1"/>
    </cacheField>
    <cacheField name="Mois" numFmtId="0" databaseField="0">
      <fieldGroup base="0">
        <rangePr groupBy="months" startDate="2025-01-02T00:00:00" endDate="2025-08-01T00:00:00"/>
        <groupItems count="14">
          <s v="&lt;02/01/2025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1/08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User" refreshedDate="45881.494296874997" createdVersion="6" refreshedVersion="7" minRefreshableVersion="3" recordCount="209">
  <cacheSource type="worksheet">
    <worksheetSource ref="A1:O210" sheet="DATA Juillet2025"/>
  </cacheSource>
  <cacheFields count="15">
    <cacheField name="Date" numFmtId="14">
      <sharedItems containsSemiMixedTypes="0" containsNonDate="0" containsDate="1" containsString="0" minDate="2025-07-01T00:00:00" maxDate="2025-08-01T00:00:00"/>
    </cacheField>
    <cacheField name="Details" numFmtId="0">
      <sharedItems/>
    </cacheField>
    <cacheField name="Type of expenses" numFmtId="0">
      <sharedItems containsBlank="1" count="17">
        <s v="Transport"/>
        <s v="Services"/>
        <s v="Lawyer Fees"/>
        <s v="Personnel"/>
        <s v="Office Materiels"/>
        <s v="Travel Expenses"/>
        <s v="Rent &amp; Utilities"/>
        <s v="Grant"/>
        <s v="Bank fees"/>
        <s v="Telephone"/>
        <s v="Transport "/>
        <s v="Travel Subsistence"/>
        <s v="Transfert fees"/>
        <s v="Rent et Utilities"/>
        <s v="Bonus to media officer"/>
        <s v="Internet"/>
        <m/>
      </sharedItems>
    </cacheField>
    <cacheField name="Department " numFmtId="0">
      <sharedItems containsBlank="1" count="7">
        <s v="Management"/>
        <s v="Office"/>
        <s v="Legal"/>
        <s v="Investigation"/>
        <m/>
        <s v="Media"/>
        <s v="Office " u="1"/>
      </sharedItems>
    </cacheField>
    <cacheField name="Spent  in XAF" numFmtId="0">
      <sharedItems containsString="0" containsBlank="1" containsNumber="1" containsInteger="1" minValue="-60000" maxValue="1037411"/>
    </cacheField>
    <cacheField name="Spent in $" numFmtId="1">
      <sharedItems containsString="0" containsBlank="1" containsNumber="1" minValue="-106.96283868534969" maxValue="1929.1546212005412"/>
    </cacheField>
    <cacheField name="Exchange Rate $" numFmtId="0">
      <sharedItems containsSemiMixedTypes="0" containsString="0" containsNumber="1" minValue="534.23810000000003" maxValue="560.94248000000005"/>
    </cacheField>
    <cacheField name="Name" numFmtId="0">
      <sharedItems count="9">
        <s v="DOVI"/>
        <s v="Parfaite"/>
        <s v="Roderlin"/>
        <s v="BCI"/>
        <s v="Crépin"/>
        <s v="Abraham"/>
        <s v="Donald-Romeo"/>
        <s v="Evariste"/>
        <s v="Romain"/>
      </sharedItems>
    </cacheField>
    <cacheField name="Receipt" numFmtId="0">
      <sharedItems/>
    </cacheField>
    <cacheField name="Project" numFmtId="0">
      <sharedItems/>
    </cacheField>
    <cacheField name="Donor" numFmtId="0">
      <sharedItems/>
    </cacheField>
    <cacheField name="Country" numFmtId="0">
      <sharedItems/>
    </cacheField>
    <cacheField name="Received in XAF" numFmtId="0">
      <sharedItems containsString="0" containsBlank="1" containsNumber="1" containsInteger="1" minValue="5342381" maxValue="5377542"/>
    </cacheField>
    <cacheField name="Received in $" numFmtId="0">
      <sharedItems containsString="0" containsBlank="1" containsNumber="1" containsInteger="1" minValue="10000" maxValue="10000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">
  <r>
    <d v="2025-07-16T00:00:00"/>
    <n v="25000"/>
    <m/>
    <n v="25000"/>
    <x v="0"/>
  </r>
  <r>
    <d v="2025-07-16T00:00:00"/>
    <m/>
    <n v="20000"/>
    <n v="5000"/>
    <x v="1"/>
  </r>
  <r>
    <d v="2025-07-16T00:00:00"/>
    <m/>
    <n v="5000"/>
    <n v="0"/>
    <x v="2"/>
  </r>
  <r>
    <d v="2025-07-22T00:00:00"/>
    <n v="5000"/>
    <m/>
    <n v="5000"/>
    <x v="0"/>
  </r>
  <r>
    <d v="2025-07-22T00:00:00"/>
    <m/>
    <n v="5000"/>
    <n v="0"/>
    <x v="3"/>
  </r>
  <r>
    <d v="2025-07-31T00:00:00"/>
    <n v="15000"/>
    <m/>
    <n v="15000"/>
    <x v="0"/>
  </r>
  <r>
    <d v="2025-07-31T00:00:00"/>
    <m/>
    <n v="5000"/>
    <n v="10000"/>
    <x v="4"/>
  </r>
  <r>
    <d v="2025-07-31T00:00:00"/>
    <m/>
    <n v="5000"/>
    <n v="5000"/>
    <x v="5"/>
  </r>
  <r>
    <d v="2025-07-31T00:00:00"/>
    <m/>
    <n v="5000"/>
    <n v="0"/>
    <x v="6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">
  <r>
    <d v="2025-07-01T00:00:00"/>
    <s v="Report au 01/07/2025"/>
    <m/>
    <m/>
    <m/>
    <m/>
    <n v="85969"/>
    <x v="0"/>
    <m/>
    <m/>
  </r>
  <r>
    <d v="2025-07-02T00:00:00"/>
    <s v=" Frais de prestation de nettoyage jardin PALF Juin 2025"/>
    <s v="Office"/>
    <s v="Services"/>
    <n v="20000"/>
    <m/>
    <n v="65969"/>
    <x v="1"/>
    <s v="CA-JU-R1"/>
    <m/>
  </r>
  <r>
    <d v="2025-07-03T00:00:00"/>
    <s v="Roderlin"/>
    <m/>
    <s v="Versement"/>
    <n v="15000"/>
    <m/>
    <n v="50969"/>
    <x v="2"/>
    <s v="CA-JU-V2"/>
    <m/>
  </r>
  <r>
    <d v="2025-07-08T00:00:00"/>
    <s v="Achat eau mineral 10 Petite bouteille 0,6L/Bureau"/>
    <s v="Office"/>
    <s v="Office Materiels"/>
    <n v="2000"/>
    <m/>
    <n v="48969"/>
    <x v="2"/>
    <s v="CA-JU-R2"/>
    <m/>
  </r>
  <r>
    <d v="2025-07-10T00:00:00"/>
    <s v="Rembourssement frais de certificat d'Hebergement(Valentina et Martina) du 27/06/2025"/>
    <s v="Investigation"/>
    <s v="Travel Expenses"/>
    <n v="-60000"/>
    <m/>
    <n v="108969"/>
    <x v="1"/>
    <s v="CA-JU-D1"/>
    <m/>
  </r>
  <r>
    <d v="2025-07-10T00:00:00"/>
    <s v="Evariste"/>
    <m/>
    <s v="Versement"/>
    <n v="50000"/>
    <m/>
    <n v="58969"/>
    <x v="3"/>
    <s v="CA-JU-V3"/>
    <m/>
  </r>
  <r>
    <d v="2025-07-16T00:00:00"/>
    <s v="Achat credit  teléphonique MTN/PALF/DU 16 au 31 Juillet 2025 DOVI ET PARFAITE "/>
    <s v="Office"/>
    <s v="Telephone"/>
    <n v="25000"/>
    <m/>
    <n v="33969"/>
    <x v="4"/>
    <s v="Oui"/>
    <m/>
  </r>
  <r>
    <d v="2025-07-16T00:00:00"/>
    <s v="P29"/>
    <m/>
    <s v="Versement"/>
    <m/>
    <n v="40000"/>
    <n v="73969"/>
    <x v="5"/>
    <s v="CA-JU-V4"/>
    <m/>
  </r>
  <r>
    <d v="2025-07-21T00:00:00"/>
    <s v="Evariste"/>
    <m/>
    <s v="Versement"/>
    <m/>
    <n v="50000"/>
    <n v="123969"/>
    <x v="3"/>
    <s v="CA-JU-V5"/>
    <m/>
  </r>
  <r>
    <d v="2025-07-21T00:00:00"/>
    <s v="Achat carburant groupe electrogène Bureau"/>
    <s v="Office"/>
    <s v="Office Materiels"/>
    <n v="31250"/>
    <m/>
    <n v="92719"/>
    <x v="6"/>
    <s v="CA-JU-R3"/>
    <m/>
  </r>
  <r>
    <d v="2025-07-21T00:00:00"/>
    <s v="Achat carburant groupe electrogène Bureau"/>
    <s v="Office"/>
    <s v="Office Materiels"/>
    <n v="31250"/>
    <m/>
    <n v="61469"/>
    <x v="2"/>
    <s v="CA-JU-R4"/>
    <m/>
  </r>
  <r>
    <d v="2025-07-22T00:00:00"/>
    <s v="Donald-Roméo"/>
    <m/>
    <s v="Versement"/>
    <n v="50000"/>
    <m/>
    <n v="11469"/>
    <x v="7"/>
    <s v="CA-JU-V6"/>
    <m/>
  </r>
  <r>
    <d v="2025-07-22T00:00:00"/>
    <s v="Achat credit  teléphonique MTN/PALF/DU 22 au 31/07/2025 Donald-Roméo"/>
    <s v="Office"/>
    <s v="Telephone"/>
    <n v="5000"/>
    <m/>
    <n v="6469"/>
    <x v="4"/>
    <s v="Oui"/>
    <m/>
  </r>
  <r>
    <d v="2025-07-24T00:00:00"/>
    <s v="BCI3654402"/>
    <m/>
    <s v="Versement"/>
    <m/>
    <n v="950000"/>
    <n v="956469"/>
    <x v="8"/>
    <s v="CA-JU-V7"/>
    <m/>
  </r>
  <r>
    <d v="2025-07-24T00:00:00"/>
    <s v="Donald-Roméo"/>
    <m/>
    <s v="Versement"/>
    <n v="20000"/>
    <m/>
    <n v="936469"/>
    <x v="7"/>
    <s v="CA-JU-V8"/>
    <m/>
  </r>
  <r>
    <d v="2025-07-24T00:00:00"/>
    <s v="Frais de tansfert d'argent à  Donald-Roméo"/>
    <s v="Office"/>
    <s v="Transfert fees"/>
    <n v="700"/>
    <m/>
    <n v="935769"/>
    <x v="1"/>
    <s v="CA-JU-R5"/>
    <m/>
  </r>
  <r>
    <d v="2025-07-25T00:00:00"/>
    <s v="Réglement facture électricité periode Mai-Juin 2025/bureau PALF"/>
    <s v="Office"/>
    <s v="Rent &amp; Utilities"/>
    <n v="71274"/>
    <m/>
    <n v="864495"/>
    <x v="1"/>
    <s v="CA-JU-R6"/>
    <m/>
  </r>
  <r>
    <d v="2025-07-25T00:00:00"/>
    <s v="Parfaite"/>
    <m/>
    <s v="Versement"/>
    <n v="20000"/>
    <m/>
    <n v="844495"/>
    <x v="1"/>
    <s v="CA-JU-V9"/>
    <m/>
  </r>
  <r>
    <d v="2025-07-28T00:00:00"/>
    <s v="Frais de ramassage Ordure Juillet 2025"/>
    <s v="Office"/>
    <s v="Rent et Utilities"/>
    <n v="6000"/>
    <m/>
    <n v="838495"/>
    <x v="1"/>
    <s v="CA-JU-R7"/>
    <m/>
  </r>
  <r>
    <d v="2025-07-28T00:00:00"/>
    <s v="Evariste"/>
    <m/>
    <s v="Versement"/>
    <n v="10000"/>
    <m/>
    <n v="828495"/>
    <x v="3"/>
    <s v="CA-JU-V10"/>
    <m/>
  </r>
  <r>
    <d v="2025-07-28T00:00:00"/>
    <s v="Abraham"/>
    <m/>
    <s v="Versement"/>
    <n v="10000"/>
    <m/>
    <n v="818495"/>
    <x v="6"/>
    <s v="CA-JU-V11"/>
    <m/>
  </r>
  <r>
    <d v="2025-07-28T00:00:00"/>
    <s v="Roderlin"/>
    <m/>
    <s v="Versement"/>
    <n v="10000"/>
    <m/>
    <n v="808495"/>
    <x v="2"/>
    <s v="CA-JU-V12"/>
    <m/>
  </r>
  <r>
    <d v="2025-07-28T00:00:00"/>
    <s v=" Frais de prestation de nettoyage jardin PALF Juillet 2025"/>
    <s v="Office"/>
    <s v="Services"/>
    <n v="20000"/>
    <m/>
    <n v="788495"/>
    <x v="1"/>
    <s v="CA-JU-R8"/>
    <m/>
  </r>
  <r>
    <d v="2025-07-28T00:00:00"/>
    <s v="Reglement prestation de nettoyage  PALF du mois de Juillet 2025"/>
    <s v="Office"/>
    <s v="Services"/>
    <n v="75625"/>
    <m/>
    <n v="712870"/>
    <x v="1"/>
    <s v="CA-JU-R9"/>
    <m/>
  </r>
  <r>
    <d v="2025-07-28T00:00:00"/>
    <s v="Bonus media portant sur la condamnation ferme de 03 trafiquants de produits de la faune le 26 Juin 2025 à Impfondo pièces presse Internet"/>
    <s v="Bonus to media officer"/>
    <s v="Media"/>
    <n v="66000"/>
    <m/>
    <n v="646870"/>
    <x v="3"/>
    <s v="CA-JU-D2"/>
    <m/>
  </r>
  <r>
    <d v="2025-07-28T00:00:00"/>
    <s v="Bonus media portant sur la condamnation ferme de 03 trafiquants de produits de la faune le 26 Juin 2025 à Impfondo pieces presse papier(les depêches de brazzaville, l'horizion africain, l'agence congolaise de l'information"/>
    <s v="Bonus to media officer"/>
    <s v="Media"/>
    <n v="30000"/>
    <m/>
    <n v="616870"/>
    <x v="3"/>
    <s v="CA-JU-D3"/>
    <m/>
  </r>
  <r>
    <d v="2025-07-28T00:00:00"/>
    <s v="Bonus media portant sur la condamnation ferme de 03 trafiquants de produits de la faune le 26 Juin 2025 à Impfondo presse Radio citoyenne des jeunes"/>
    <s v="Bonus to media officer"/>
    <s v="Media"/>
    <n v="6000"/>
    <m/>
    <n v="610870"/>
    <x v="3"/>
    <s v="CA-JU-D4"/>
    <m/>
  </r>
  <r>
    <d v="2025-07-28T00:00:00"/>
    <s v="Achat de 05 ampoule à crochet"/>
    <s v="Office"/>
    <s v="Office Materiels"/>
    <n v="12500"/>
    <m/>
    <n v="598370"/>
    <x v="1"/>
    <s v="CA-JU-R10"/>
    <m/>
  </r>
  <r>
    <d v="2025-07-29T00:00:00"/>
    <s v="Frais de notification affaire de merveille/ Maître OKEMBA NGABOMBA"/>
    <s v="Legal"/>
    <s v="Lawyer Fees"/>
    <n v="115000"/>
    <m/>
    <n v="483370"/>
    <x v="1"/>
    <s v="CA-JU-R11"/>
    <m/>
  </r>
  <r>
    <d v="2025-07-29T00:00:00"/>
    <s v="Achat encre HP Laser noir et couleur 216A"/>
    <s v="Office"/>
    <s v="Office Materiels"/>
    <n v="300000"/>
    <m/>
    <n v="183370"/>
    <x v="1"/>
    <s v="CA-JU-R12"/>
    <m/>
  </r>
  <r>
    <d v="2025-07-29T00:00:00"/>
    <s v="DOVI/ Rembourssement prêt du 30/06/2025"/>
    <m/>
    <s v="Versement"/>
    <n v="50000"/>
    <m/>
    <n v="133370"/>
    <x v="9"/>
    <s v="CA-JU-V13"/>
    <m/>
  </r>
  <r>
    <d v="2025-07-29T00:00:00"/>
    <s v="Achat eau mineral 16 LITRES/Bureau"/>
    <s v="Office"/>
    <s v="Office Materiels"/>
    <n v="25000"/>
    <m/>
    <n v="108370"/>
    <x v="6"/>
    <s v="CA-JU-R13"/>
    <m/>
  </r>
  <r>
    <d v="2025-07-30T00:00:00"/>
    <s v="P29"/>
    <m/>
    <s v="Versement"/>
    <m/>
    <n v="60000"/>
    <n v="168370"/>
    <x v="5"/>
    <s v="CA-JU-V14"/>
    <m/>
  </r>
  <r>
    <d v="2025-07-30T00:00:00"/>
    <s v="T73"/>
    <m/>
    <s v="Versement"/>
    <m/>
    <n v="50000"/>
    <n v="218370"/>
    <x v="10"/>
    <s v="CA-JU-V15"/>
    <m/>
  </r>
  <r>
    <d v="2025-07-30T00:00:00"/>
    <s v="DOVI"/>
    <m/>
    <s v="Versement"/>
    <n v="100000"/>
    <m/>
    <n v="118370"/>
    <x v="9"/>
    <s v="CA-JU-V16"/>
    <m/>
  </r>
  <r>
    <d v="2025-07-30T00:00:00"/>
    <s v="Reglement facture internet periode du 01/08 au 31/08/2025 bureau PALF"/>
    <s v="Office"/>
    <s v="Internet"/>
    <n v="45050"/>
    <m/>
    <n v="73320"/>
    <x v="1"/>
    <s v="CA-JU-R14"/>
    <m/>
  </r>
  <r>
    <d v="2025-07-31T00:00:00"/>
    <s v="Achat credit  teléphonique MTN/PALF/DU 01 au 15/08/2025 Romain, Roderlin, Abraham"/>
    <s v="Office"/>
    <s v="Telephone"/>
    <n v="15000"/>
    <m/>
    <n v="58320"/>
    <x v="4"/>
    <s v="Oui"/>
    <m/>
  </r>
  <r>
    <d v="2025-07-31T00:00:00"/>
    <s v="G12"/>
    <m/>
    <s v="Versement"/>
    <m/>
    <n v="14050"/>
    <n v="72370"/>
    <x v="11"/>
    <s v="CA-JU-V17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372">
  <r>
    <x v="0"/>
    <s v="Achat credit MTN/Benin pour internet  et communication"/>
    <s v="Telephone"/>
    <s v="Management"/>
    <n v="20000"/>
    <n v="35.074489446962986"/>
    <n v="570.21500000000003"/>
    <s v="DOVI"/>
    <s v="DH-J-R1"/>
    <s v="PALF"/>
    <x v="0"/>
    <s v="Congo"/>
    <m/>
    <m/>
    <m/>
  </r>
  <r>
    <x v="0"/>
    <s v="Achat credit  teléphonique MTN/PALF/Première partie du mois de Janvier 2025/Office"/>
    <s v="Telephone"/>
    <s v="Office"/>
    <n v="21000"/>
    <n v="36.828213919311132"/>
    <n v="570.21500000000003"/>
    <s v="Merveille"/>
    <s v="CA-J-R1"/>
    <s v="PALF"/>
    <x v="0"/>
    <s v="Congo"/>
    <m/>
    <m/>
    <m/>
  </r>
  <r>
    <x v="0"/>
    <s v="Achat credit  teléphonique MTN/PALF/Première partie du mois de Janvier 2025/Legal"/>
    <s v="Telephone"/>
    <s v="Legal"/>
    <n v="95000"/>
    <n v="166.60382487307419"/>
    <n v="570.21500000000003"/>
    <s v="Merveille"/>
    <s v="CA-J-R2"/>
    <s v="PALF"/>
    <x v="0"/>
    <s v="Congo"/>
    <m/>
    <m/>
    <m/>
  </r>
  <r>
    <x v="0"/>
    <s v="Achat credit  teléphonique MTN/PALF/Première partie du mois de Janvier 2025/Investigation"/>
    <s v="Telephone"/>
    <s v="Investigations"/>
    <n v="88000"/>
    <n v="154.32775356663714"/>
    <n v="570.21500000000003"/>
    <s v="Merveille"/>
    <s v="CA-J-R3"/>
    <s v="PALF"/>
    <x v="0"/>
    <s v="Congo"/>
    <m/>
    <m/>
    <m/>
  </r>
  <r>
    <x v="0"/>
    <s v="Achat credit  teléphonique MTN/PALF/Première partie du mois de Janvier 2025/Media"/>
    <s v="Telephone"/>
    <s v="Media"/>
    <n v="10000"/>
    <n v="17.537244723481493"/>
    <n v="570.21500000000003"/>
    <s v="Merveille"/>
    <s v="CA-J-R4"/>
    <s v="PALF"/>
    <x v="0"/>
    <s v="Congo"/>
    <m/>
    <m/>
    <m/>
  </r>
  <r>
    <x v="0"/>
    <s v="Achat credit  teléphonique Airtel/PALF/Première partie du mois de Janvier 2025/Legal"/>
    <s v="Telephone"/>
    <s v="Legal"/>
    <n v="10000"/>
    <n v="17.537244723481493"/>
    <n v="570.21500000000003"/>
    <s v="Merveille"/>
    <s v="CA-J-R5"/>
    <s v="PALF"/>
    <x v="0"/>
    <s v="Congo"/>
    <m/>
    <m/>
    <m/>
  </r>
  <r>
    <x v="0"/>
    <s v="Achat credit  teléphonique Airtel/PALF/Première partie du mois de Janvier 2025/Investigation"/>
    <s v="Telephone"/>
    <s v="Investigations"/>
    <n v="16000"/>
    <n v="28.059591557570389"/>
    <n v="570.21500000000003"/>
    <s v="Merveille"/>
    <s v="CA-J-R6"/>
    <s v="PALF"/>
    <x v="0"/>
    <s v="Congo"/>
    <m/>
    <m/>
    <m/>
  </r>
  <r>
    <x v="0"/>
    <s v="Achat credit  teléphonique Airtel/PALF/Première partie du mois de Janvier 2025/Media"/>
    <s v="Telephone"/>
    <s v="Media"/>
    <n v="11000"/>
    <n v="19.290969195829643"/>
    <n v="570.21500000000003"/>
    <s v="Merveille"/>
    <s v="CA-J-R7"/>
    <s v="PALF"/>
    <x v="0"/>
    <s v="Congo"/>
    <m/>
    <m/>
    <m/>
  </r>
  <r>
    <x v="1"/>
    <s v="Achat eau mineral 10 bidons de 16,5Litres pour le bureau PALF"/>
    <s v="Office Materials"/>
    <s v="Office"/>
    <n v="25000"/>
    <n v="43.843111808703732"/>
    <n v="570.21500000000003"/>
    <s v="Merveille"/>
    <s v="CA-J-R8"/>
    <s v="PALF"/>
    <x v="0"/>
    <s v="Congo"/>
    <m/>
    <m/>
    <m/>
  </r>
  <r>
    <x v="2"/>
    <s v="Solde honoraire contrat n°79 Dolisie cas BOUTSANA et Consorts/ Maître BANZOUZI Alain"/>
    <s v="Lawyer Fees"/>
    <s v="Legal"/>
    <n v="300000"/>
    <n v="526.11734170444481"/>
    <n v="570.21500000000003"/>
    <s v="BCI"/>
    <s v="BQ-J-R1"/>
    <s v="PALF"/>
    <x v="0"/>
    <s v="Congo"/>
    <m/>
    <m/>
    <m/>
  </r>
  <r>
    <x v="2"/>
    <s v="Solde honoraire contrat n°67 Sibiti et Consorts/ Maître Helene"/>
    <s v="Lawyer Fees"/>
    <s v="Legal"/>
    <n v="300000"/>
    <n v="526.11734170444481"/>
    <n v="570.21500000000003"/>
    <s v="BCI"/>
    <s v="BQ-J-R2"/>
    <s v="PALF"/>
    <x v="0"/>
    <s v="Congo"/>
    <m/>
    <m/>
    <m/>
  </r>
  <r>
    <x v="2"/>
    <s v="Reglement loyer du mois de Décembre 2024/3654776"/>
    <s v="Rent &amp; Utilities"/>
    <s v="Office"/>
    <n v="500000"/>
    <n v="838.65459674971032"/>
    <n v="596.19299999999998"/>
    <s v="BCI"/>
    <s v="BQ-J-R3"/>
    <s v="PALF"/>
    <x v="0"/>
    <s v="Congo"/>
    <m/>
    <m/>
    <m/>
  </r>
  <r>
    <x v="2"/>
    <s v="Reglement Facture Gardiennage Mois de Décembre 2024/3654775"/>
    <s v="Services"/>
    <s v="Office"/>
    <n v="260000"/>
    <n v="436.10039030984933"/>
    <n v="596.19299999999998"/>
    <s v="BCI"/>
    <s v="BQ-J-R13"/>
    <s v="PALF"/>
    <x v="0"/>
    <s v="Congo"/>
    <m/>
    <m/>
    <m/>
  </r>
  <r>
    <x v="2"/>
    <s v="Paiement Honoraire Me LOCKO/Mois de Décembre 2024/3654777"/>
    <s v="Lawyer Fees"/>
    <s v="Legal"/>
    <n v="150000"/>
    <n v="251.59637902491309"/>
    <n v="596.19299999999998"/>
    <s v="BCI"/>
    <s v="BQ-J-R14"/>
    <s v="PALF"/>
    <x v="0"/>
    <s v="Congo"/>
    <m/>
    <m/>
    <m/>
  </r>
  <r>
    <x v="3"/>
    <s v="achat billet: Brazzaville - Owando/T73"/>
    <s v="Transport"/>
    <s v="Investigations"/>
    <n v="7000"/>
    <n v="12.276071306437045"/>
    <n v="570.21500000000003"/>
    <s v="T73"/>
    <s v="T73-J-R1"/>
    <s v="PALF"/>
    <x v="0"/>
    <s v="Congo"/>
    <m/>
    <m/>
    <m/>
  </r>
  <r>
    <x v="3"/>
    <s v="T73 - CONGO Food Allowance du 07 au 17/01/2025 (10 nuitées) à Owando et Oyo"/>
    <s v="Travel Subsistence"/>
    <s v="Investigations"/>
    <n v="100000"/>
    <n v="175.37244723481493"/>
    <n v="570.21500000000003"/>
    <s v="T73"/>
    <s v="T73-J-D1"/>
    <s v="PALF"/>
    <x v="0"/>
    <s v="Congo"/>
    <m/>
    <m/>
    <m/>
  </r>
  <r>
    <x v="4"/>
    <s v="Achat billet d'Avion Retour Cotonou - Brazzaville/DOVI"/>
    <s v="Transport"/>
    <s v="Management"/>
    <n v="226000"/>
    <n v="396.34173075068173"/>
    <n v="570.21500000000003"/>
    <s v="DOVI"/>
    <s v="DH-J-R2"/>
    <s v="PALF"/>
    <x v="0"/>
    <s v="Congo"/>
    <m/>
    <m/>
    <m/>
  </r>
  <r>
    <x v="4"/>
    <s v="Frais de transfert d'argent à DOVI"/>
    <s v="Transfer Fees"/>
    <s v="Office"/>
    <n v="22640"/>
    <n v="39.704322053962102"/>
    <n v="570.21500000000003"/>
    <s v="Merveille"/>
    <s v="CA-J-R9"/>
    <s v="PALF"/>
    <x v="0"/>
    <s v="Congo"/>
    <m/>
    <m/>
    <m/>
  </r>
  <r>
    <x v="4"/>
    <s v="Achat billet brazzaville-owando/P29"/>
    <s v="Transport"/>
    <s v="Investigations"/>
    <n v="7000"/>
    <n v="12.276071306437045"/>
    <n v="570.21500000000003"/>
    <s v="P29"/>
    <s v="P29-J-R1"/>
    <s v="PALF"/>
    <x v="0"/>
    <s v="Congo"/>
    <m/>
    <m/>
    <m/>
  </r>
  <r>
    <x v="4"/>
    <s v="Achat de Billet Brazzaville-Owando/Romain"/>
    <s v="Transport"/>
    <s v="Legal"/>
    <n v="7000"/>
    <n v="12.276071306437045"/>
    <n v="570.21500000000003"/>
    <s v="Romain"/>
    <s v="RM-J-R1"/>
    <s v="PALF"/>
    <x v="0"/>
    <s v="Congo"/>
    <m/>
    <m/>
    <m/>
  </r>
  <r>
    <x v="4"/>
    <s v="Achat billet Brazzaville - Owando/Abraham"/>
    <s v="Transport"/>
    <s v="Legal"/>
    <n v="7000"/>
    <n v="12.276071306437045"/>
    <n v="570.21500000000003"/>
    <s v="Abraham"/>
    <s v="AB-J-R1"/>
    <s v="PALF"/>
    <x v="0"/>
    <s v="Congo"/>
    <m/>
    <m/>
    <m/>
  </r>
  <r>
    <x v="4"/>
    <s v="Frais de transfert d'argent à T73"/>
    <s v="Transfer Fees"/>
    <s v="Office"/>
    <n v="1860"/>
    <n v="3.2619275185675578"/>
    <n v="570.21500000000003"/>
    <s v="Roderlin"/>
    <s v="CA-J-R10"/>
    <s v="PALF"/>
    <x v="0"/>
    <s v="Congo"/>
    <m/>
    <m/>
    <m/>
  </r>
  <r>
    <x v="4"/>
    <s v="Achat billet Brazzaville-Owando/Donald-Roméo"/>
    <s v="Transport"/>
    <s v="Legal"/>
    <n v="7000"/>
    <n v="12.276071306437045"/>
    <n v="570.21500000000003"/>
    <s v="Donald-Roméo"/>
    <s v="DR-J-R1"/>
    <s v="PALF"/>
    <x v="0"/>
    <s v="Congo"/>
    <m/>
    <m/>
    <m/>
  </r>
  <r>
    <x v="5"/>
    <s v="Billet: Brazzaville-Owando/Crepin"/>
    <s v="Transport"/>
    <s v="Operations"/>
    <n v="7000"/>
    <n v="12.276071306437045"/>
    <n v="570.21500000000003"/>
    <s v="Crépin"/>
    <s v="CR-J-R1"/>
    <s v="PALF"/>
    <x v="0"/>
    <s v="Congo"/>
    <m/>
    <m/>
    <m/>
  </r>
  <r>
    <x v="5"/>
    <s v="P29 - CONGO Foodallowance mission du 09 au 17/01/2025 à Owando et Oyo (08 Nuitées)"/>
    <s v="Travel Subsistence"/>
    <s v="Investigations"/>
    <n v="80000"/>
    <n v="140.29795778785194"/>
    <n v="570.21500000000003"/>
    <s v="P29"/>
    <s v="P29-J-D1"/>
    <s v="PALF"/>
    <x v="0"/>
    <s v="Congo"/>
    <m/>
    <m/>
    <m/>
  </r>
  <r>
    <x v="5"/>
    <s v="ROMAIN-CONGO Food Alowance du 09 au 25  janvier à Owando(16 Nuitées)"/>
    <s v="Travel Subsistence"/>
    <s v="Legal"/>
    <n v="160000"/>
    <n v="280.59591557570388"/>
    <n v="570.21500000000003"/>
    <s v="Romain"/>
    <s v="RM-J-D1"/>
    <s v="PALF"/>
    <x v="0"/>
    <s v="Congo"/>
    <m/>
    <m/>
    <m/>
  </r>
  <r>
    <x v="5"/>
    <s v="ABRAHAM - CONGO food allowance du 09 au 17/01/2025 à Owando (08Nuitées)"/>
    <s v="Travel Subsistence"/>
    <s v="Legal"/>
    <n v="80000"/>
    <n v="140.29795778785194"/>
    <n v="570.21500000000003"/>
    <s v="Abraham"/>
    <s v="AB-J-D1"/>
    <s v="PALF"/>
    <x v="0"/>
    <s v="Congo"/>
    <m/>
    <m/>
    <m/>
  </r>
  <r>
    <x v="5"/>
    <s v="Frais de transfert d'argent à P29 et Romain"/>
    <s v="Transfer Fees"/>
    <s v="Office"/>
    <n v="32070"/>
    <n v="56.241943828205144"/>
    <n v="570.21500000000003"/>
    <s v="Roderlin"/>
    <s v="CA-J-R11"/>
    <s v="PALF"/>
    <x v="0"/>
    <s v="Congo"/>
    <m/>
    <m/>
    <m/>
  </r>
  <r>
    <x v="5"/>
    <s v="Donald-Roméo - CONGO Food Allowance Mission du  09 au 19/01/2025 à Owando"/>
    <s v="Travel Subsistence"/>
    <s v="Legal"/>
    <n v="100000"/>
    <n v="175.37244723481493"/>
    <n v="570.21500000000003"/>
    <s v="Donald-Roméo"/>
    <s v="DR-J-D1"/>
    <s v="PALF"/>
    <x v="0"/>
    <s v="Congo"/>
    <m/>
    <m/>
    <m/>
  </r>
  <r>
    <x v="5"/>
    <s v="Achat billet Brazzaville-Owando/Evariste"/>
    <s v="Transport"/>
    <s v="Media"/>
    <n v="7000"/>
    <n v="12.276071306437045"/>
    <n v="570.21500000000003"/>
    <s v="Evariste"/>
    <s v="EV-J-R1"/>
    <s v="PALF"/>
    <x v="0"/>
    <s v="Congo"/>
    <m/>
    <m/>
    <m/>
  </r>
  <r>
    <x v="6"/>
    <s v="CREPIN IBOUILI - CONGO Food-Allowance à Owando du 10 au 25/01/2025/(15 Nuitées)"/>
    <s v="Travel Subsistence"/>
    <s v="Legal"/>
    <n v="150000"/>
    <n v="263.05867085222241"/>
    <n v="570.21500000000003"/>
    <s v="Crépin"/>
    <s v="CR-J-D1"/>
    <s v="PALF"/>
    <x v="0"/>
    <s v="Congo"/>
    <m/>
    <m/>
    <m/>
  </r>
  <r>
    <x v="6"/>
    <s v="Reglement facture d'electricité periode Novembre - Decembre 2024/Bureau PALF"/>
    <s v="Rent &amp; Utilities"/>
    <s v="Office"/>
    <n v="59466"/>
    <n v="104.28697947265505"/>
    <n v="570.21500000000003"/>
    <s v="Roderlin"/>
    <s v="CA-J-R13"/>
    <s v="PALF"/>
    <x v="0"/>
    <s v="Congo"/>
    <m/>
    <m/>
    <m/>
  </r>
  <r>
    <x v="6"/>
    <s v="EVARISTE - CONGO Food Allowance du 10 au 17 janvier 2025 mission à Owando (7 nuitées)"/>
    <s v="Travel Subsistence"/>
    <s v="Media"/>
    <n v="70000"/>
    <n v="122.76071306437045"/>
    <n v="570.21500000000003"/>
    <s v="Evariste"/>
    <s v="EV-J-D1"/>
    <s v="PALF"/>
    <x v="0"/>
    <s v="Congo"/>
    <m/>
    <m/>
    <m/>
  </r>
  <r>
    <x v="7"/>
    <s v="CREPIN IBOUILI  - CONGO Frais d'hôtel à Owando du 10 au 13/01/2025 (03 Nuitées)"/>
    <s v="Travel Subsistence"/>
    <s v="Operations"/>
    <n v="45000"/>
    <n v="78.917601255666725"/>
    <n v="570.21500000000003"/>
    <s v="Crépin"/>
    <s v="CR-J-R2"/>
    <s v="PALF"/>
    <x v="0"/>
    <s v="Congo"/>
    <m/>
    <m/>
    <m/>
  </r>
  <r>
    <x v="7"/>
    <s v="P29 - CONGO Frais d'hotel du 09 au 13/01/2025 à owando (4 Nuitées)"/>
    <s v="Travel Subsistence"/>
    <s v="Investigations"/>
    <n v="60000"/>
    <n v="105.22346834088896"/>
    <n v="570.21500000000003"/>
    <s v="P29"/>
    <s v="P29-J-R2"/>
    <s v="PALF"/>
    <x v="0"/>
    <s v="Congo"/>
    <m/>
    <m/>
    <m/>
  </r>
  <r>
    <x v="7"/>
    <s v="Frais de transfert d'argent à T73"/>
    <s v="Transfer Fees"/>
    <s v="Office"/>
    <n v="1000"/>
    <n v="1.7537244723481493"/>
    <n v="570.21500000000003"/>
    <s v="Roderlin"/>
    <s v="CA-J-R14"/>
    <s v="PALF"/>
    <x v="0"/>
    <s v="Congo"/>
    <m/>
    <m/>
    <m/>
  </r>
  <r>
    <x v="8"/>
    <s v="Reglement facture d'hotel Eric ONA du 07 au 14/01/2025/(07 Nuitées)"/>
    <s v="Travel Subsistence"/>
    <s v="Management"/>
    <n v="245000"/>
    <n v="429.66249572529659"/>
    <n v="570.21500000000003"/>
    <s v="Abraham"/>
    <s v="CA-J-R12"/>
    <s v="PALF"/>
    <x v="0"/>
    <s v="Congo"/>
    <m/>
    <m/>
    <m/>
  </r>
  <r>
    <x v="8"/>
    <s v="Frais de transfert d'argent à Romain,P29 et Donald-Roméo"/>
    <s v="Transfer Fees"/>
    <s v="Office"/>
    <n v="8100"/>
    <n v="14.205168226020009"/>
    <n v="570.21500000000003"/>
    <s v="Roderlin"/>
    <s v="CA-J-R15"/>
    <s v="PALF"/>
    <x v="0"/>
    <s v="Congo"/>
    <m/>
    <m/>
    <m/>
  </r>
  <r>
    <x v="9"/>
    <s v="Raffraichissement et plats avec 03 gendarmes pendant l'attente du top"/>
    <s v="Travel Subsistence"/>
    <s v="Operations"/>
    <n v="9750"/>
    <n v="17.098813605394454"/>
    <n v="570.21500000000003"/>
    <s v="Crépin"/>
    <s v="CR-J-R3"/>
    <s v="PALF"/>
    <x v="0"/>
    <s v="Congo"/>
    <m/>
    <m/>
    <m/>
  </r>
  <r>
    <x v="9"/>
    <s v="Achat credit  teléphonique MTN/PALF/Deuxième partie du mois de Janvier 2025/Management"/>
    <s v="Telephone"/>
    <s v="Management"/>
    <n v="31000"/>
    <n v="54.365458642792625"/>
    <n v="570.21500000000003"/>
    <s v="Merveille"/>
    <s v="CA-J-R17"/>
    <s v="PALF"/>
    <x v="0"/>
    <s v="Congo"/>
    <m/>
    <m/>
    <m/>
  </r>
  <r>
    <x v="9"/>
    <s v="Achat credit  teléphonique MTN/PALF/Deuxième partie du mois de Janvier 2025/Legal"/>
    <s v="Telephone"/>
    <s v="Legal"/>
    <n v="35000"/>
    <n v="61.380356532185225"/>
    <n v="570.21500000000003"/>
    <s v="Merveille"/>
    <s v="CA-J-R18"/>
    <s v="PALF"/>
    <x v="0"/>
    <s v="Congo"/>
    <m/>
    <m/>
    <m/>
  </r>
  <r>
    <x v="9"/>
    <s v="Achat credit  teléphonique MTN/PALF/Deuxième partie du mois de Janvier 2025/Investigation"/>
    <s v="Telephone"/>
    <s v="Investigations"/>
    <n v="50000"/>
    <n v="87.686223617407464"/>
    <n v="570.21500000000003"/>
    <s v="Merveille"/>
    <s v="CA-J-R19"/>
    <s v="PALF"/>
    <x v="0"/>
    <s v="Congo"/>
    <m/>
    <m/>
    <m/>
  </r>
  <r>
    <x v="9"/>
    <s v="Achat credit  teléphonique MTN/PALF/Deuxième partie du mois de Janvier 2025/Media"/>
    <s v="Telephone"/>
    <s v="Media"/>
    <n v="10000"/>
    <n v="17.537244723481493"/>
    <n v="570.21500000000003"/>
    <s v="Merveille"/>
    <s v="CA-J-R20"/>
    <s v="PALF"/>
    <x v="0"/>
    <s v="Congo"/>
    <m/>
    <m/>
    <m/>
  </r>
  <r>
    <x v="9"/>
    <s v="Achat credit  teléphonique Airtel/PALF/Deuxième partie du mois de Janvier 2025/Legal"/>
    <s v="Telephone"/>
    <s v="Legal"/>
    <n v="10000"/>
    <n v="17.537244723481493"/>
    <n v="570.21500000000003"/>
    <s v="Merveille"/>
    <s v="CA-J-R21"/>
    <s v="PALF"/>
    <x v="0"/>
    <s v="Congo"/>
    <m/>
    <m/>
    <m/>
  </r>
  <r>
    <x v="9"/>
    <s v="Achat credit  teléphonique Airtel/PALF/Deuxième partie du mois de Janvier 2025/Investigation"/>
    <s v="Telephone"/>
    <s v="Investigations"/>
    <n v="5000"/>
    <n v="8.7686223617407464"/>
    <n v="570.21500000000003"/>
    <s v="Merveille"/>
    <s v="CA-J-R22"/>
    <s v="PALF"/>
    <x v="0"/>
    <s v="Congo"/>
    <m/>
    <m/>
    <m/>
  </r>
  <r>
    <x v="9"/>
    <s v="Location véhicule owando-oyo,extraction/après opération"/>
    <s v="Transport"/>
    <s v="Investigations"/>
    <n v="50000"/>
    <n v="87.686223617407464"/>
    <n v="570.21500000000003"/>
    <s v="P29"/>
    <s v="P29-J-R3"/>
    <s v="PALF"/>
    <x v="0"/>
    <s v="Congo"/>
    <m/>
    <m/>
    <m/>
  </r>
  <r>
    <x v="9"/>
    <s v="T73- CONGO Frais d'hotel du 07 au 15/01/2025 (08nuitées ) à Owando"/>
    <s v="Travel Subsistence"/>
    <s v="Investigations"/>
    <n v="120000"/>
    <n v="210.44693668177791"/>
    <n v="570.21500000000003"/>
    <s v="T73"/>
    <s v="T73-J-R2"/>
    <s v="PALF"/>
    <x v="0"/>
    <s v="Congo"/>
    <m/>
    <m/>
    <m/>
  </r>
  <r>
    <x v="9"/>
    <s v="Location  1 Taxis pour l'opération (Gendarmerie-Hotel  la Concorde:Aller-Retour)"/>
    <s v="Transport"/>
    <s v="Operations"/>
    <n v="8500"/>
    <n v="14.90665801495927"/>
    <n v="570.21500000000003"/>
    <s v="Romain"/>
    <s v="RM-J-R2"/>
    <s v="PALF"/>
    <x v="0"/>
    <s v="Congo"/>
    <m/>
    <m/>
    <m/>
  </r>
  <r>
    <x v="9"/>
    <s v="Location  1 Taxis pour l'opération (Gendarmerie-Hotel  la Concorde:Aller-Retour)"/>
    <s v="Transport"/>
    <s v="Operations"/>
    <n v="8500"/>
    <n v="14.90665801495927"/>
    <n v="570.21500000000003"/>
    <s v="Romain"/>
    <s v="RM-J-R3"/>
    <s v="PALF"/>
    <x v="0"/>
    <s v="Congo"/>
    <m/>
    <m/>
    <m/>
  </r>
  <r>
    <x v="9"/>
    <s v="Rafraichissement en attente opération "/>
    <s v="Travel Subsistence"/>
    <s v="Operations"/>
    <n v="10100"/>
    <n v="17.712617170716307"/>
    <n v="570.21500000000003"/>
    <s v="Romain"/>
    <s v="RM-J-R4"/>
    <s v="PALF"/>
    <x v="0"/>
    <s v="Congo"/>
    <m/>
    <m/>
    <m/>
  </r>
  <r>
    <x v="9"/>
    <s v="ABRAHAM - CONGO frais d'Hôtel (Hôtel Joela) du 09 au 15/01/2025 Owando (06Nuitées)"/>
    <s v="Travel Subsistence"/>
    <s v="Legal"/>
    <n v="90000"/>
    <n v="157.83520251133345"/>
    <n v="570.21500000000003"/>
    <s v="Abraham"/>
    <s v="AB-J-R2"/>
    <s v="PALF"/>
    <x v="0"/>
    <s v="Congo"/>
    <m/>
    <m/>
    <m/>
  </r>
  <r>
    <x v="9"/>
    <s v="Rafraîchissement attente op"/>
    <s v="Travel Subsistence"/>
    <s v="Operations"/>
    <n v="9600"/>
    <n v="16.835754934542233"/>
    <n v="570.21500000000003"/>
    <s v="Abraham"/>
    <s v="AB-J-R3"/>
    <s v="PALF"/>
    <x v="0"/>
    <s v="Congo"/>
    <m/>
    <m/>
    <m/>
  </r>
  <r>
    <x v="9"/>
    <s v="Achat billet Brazzaville-Dolisie/Rodelin"/>
    <s v="Transport"/>
    <s v="Legal"/>
    <n v="8000"/>
    <n v="14.029795778785195"/>
    <n v="570.21500000000003"/>
    <s v="Roderlin"/>
    <s v="RO-J-R1"/>
    <s v="PALF"/>
    <x v="0"/>
    <s v="Congo"/>
    <m/>
    <m/>
    <m/>
  </r>
  <r>
    <x v="9"/>
    <s v="Frais de mission maitre marie Helène à dolisie du 16 au 18/01/2025"/>
    <s v="Lawyer Fees"/>
    <s v="Legal"/>
    <n v="72000"/>
    <n v="126.26816200906674"/>
    <n v="570.21500000000003"/>
    <s v="Roderlin"/>
    <s v="CA-J-R16"/>
    <s v="PALF"/>
    <x v="0"/>
    <s v="Congo"/>
    <m/>
    <m/>
    <m/>
  </r>
  <r>
    <x v="9"/>
    <s v="Achat carburant BJ  pour OP"/>
    <s v="Transport"/>
    <s v="Operations"/>
    <n v="25000"/>
    <n v="43.843111808703732"/>
    <n v="570.21500000000003"/>
    <s v="Donald-Roméo"/>
    <s v="DR-J-R2"/>
    <s v="PALF"/>
    <x v="0"/>
    <s v="Congo"/>
    <m/>
    <m/>
    <m/>
  </r>
  <r>
    <x v="9"/>
    <s v="Raffraichissement OP  à Owando/10  gendarmes et moi"/>
    <s v="Travel Subsistence"/>
    <s v="Operations"/>
    <n v="19600"/>
    <n v="34.372999658023723"/>
    <n v="570.21500000000003"/>
    <s v="Donald-Roméo"/>
    <s v="DR-J-R3"/>
    <s v="PALF"/>
    <x v="0"/>
    <s v="Congo"/>
    <m/>
    <m/>
    <m/>
  </r>
  <r>
    <x v="9"/>
    <s v="Rafraichissement de mon équipe lors de l'opération"/>
    <s v="Travel Subsistence"/>
    <s v="Operations"/>
    <n v="9700"/>
    <n v="17.011127381777047"/>
    <n v="570.21500000000003"/>
    <s v="Evariste"/>
    <s v="EV-J-R2"/>
    <s v="PALF"/>
    <x v="0"/>
    <s v="Congo"/>
    <m/>
    <m/>
    <m/>
  </r>
  <r>
    <x v="10"/>
    <s v="Bonus pour 16 gendarmes ayant participé à l'opération du 15 Janvier 2025 à Owando"/>
    <s v="Bonus"/>
    <s v="Operations"/>
    <n v="160000"/>
    <n v="280.59591557570388"/>
    <n v="570.21500000000003"/>
    <s v="Crépin"/>
    <s v="CR-J-R4"/>
    <s v="PALF"/>
    <x v="0"/>
    <s v="Congo"/>
    <m/>
    <m/>
    <m/>
  </r>
  <r>
    <x v="10"/>
    <s v="Bonus pour 02 EF ayant participé à l'opération du 15 Janvier 2025 à Owando"/>
    <s v="Bonus"/>
    <s v="Operations"/>
    <n v="20000"/>
    <n v="35.074489446962986"/>
    <n v="570.21500000000003"/>
    <s v="Crépin"/>
    <s v="CR-J-R5"/>
    <s v="PALF"/>
    <x v="0"/>
    <s v="Congo"/>
    <m/>
    <m/>
    <m/>
  </r>
  <r>
    <x v="10"/>
    <s v="Frais de transfert d'argent à Crepin,T73 et Evariste"/>
    <s v="Transfer Fees"/>
    <s v="Office"/>
    <n v="6055"/>
    <n v="10.618801680068044"/>
    <n v="570.21500000000003"/>
    <s v="Merveille"/>
    <s v="CA-J-R23"/>
    <s v="PALF"/>
    <x v="0"/>
    <s v="Congo"/>
    <m/>
    <m/>
    <m/>
  </r>
  <r>
    <x v="10"/>
    <s v="Achat billet Oyo-Brazzaville(Océan du Nord)/Abraham"/>
    <s v="Transport"/>
    <s v="Legal"/>
    <n v="7000"/>
    <n v="12.276071306437045"/>
    <n v="570.21500000000003"/>
    <s v="Abraham"/>
    <s v="AB-J-R4"/>
    <s v="PALF"/>
    <x v="0"/>
    <s v="Congo"/>
    <m/>
    <m/>
    <m/>
  </r>
  <r>
    <x v="10"/>
    <s v="RODERLIN-CONGO food allowance du 16 au 18/01/2025 à Dolisie (02 nuitées)"/>
    <s v="Travel Subsistence"/>
    <s v="Legal"/>
    <n v="20000"/>
    <n v="35.074489446962986"/>
    <n v="570.21500000000003"/>
    <s v="Roderlin"/>
    <s v="RO-J-D1"/>
    <s v="PALF"/>
    <x v="0"/>
    <s v="Congo"/>
    <m/>
    <m/>
    <m/>
  </r>
  <r>
    <x v="10"/>
    <s v="Achat billet Owando-Brazzaville/Evariste"/>
    <s v="Transport"/>
    <s v="Media"/>
    <n v="7000"/>
    <n v="12.276071306437045"/>
    <n v="570.21500000000003"/>
    <s v="Evariste"/>
    <s v="EV-J-R3"/>
    <s v="PALF"/>
    <x v="0"/>
    <s v="Congo"/>
    <m/>
    <m/>
    <m/>
  </r>
  <r>
    <x v="11"/>
    <s v="Frais de transfert d'argent à Donald-Roméo et Romain"/>
    <s v="Transfer Fees"/>
    <s v="Office"/>
    <n v="6720"/>
    <n v="11.785028454179564"/>
    <n v="570.21500000000003"/>
    <s v="Merveille"/>
    <s v="CA-J-R24"/>
    <s v="PALF"/>
    <x v="0"/>
    <s v="Congo"/>
    <m/>
    <m/>
    <m/>
  </r>
  <r>
    <x v="11"/>
    <s v="Frais de mission maitre Alain BANZOUZI du 19 au 22/01/2025 à Owando"/>
    <s v="Lawyer Fees"/>
    <s v="Legal"/>
    <n v="176000"/>
    <n v="308.65550713327428"/>
    <n v="570.21500000000003"/>
    <s v="Merveille"/>
    <s v="CA-J-R25"/>
    <s v="PALF"/>
    <x v="0"/>
    <s v="Congo"/>
    <m/>
    <m/>
    <m/>
  </r>
  <r>
    <x v="11"/>
    <s v="P29 - Frais d'hotel du 13 au 17/01/2025  lieu op à owando(pour P29)/04 Nuitées"/>
    <s v="Travel Subsistence"/>
    <s v="Investigations"/>
    <n v="100000"/>
    <n v="175.37244723481493"/>
    <n v="570.21500000000003"/>
    <s v="P29"/>
    <s v="P29-J-R4"/>
    <s v="PALF"/>
    <x v="0"/>
    <s v="Congo"/>
    <m/>
    <m/>
    <m/>
  </r>
  <r>
    <x v="11"/>
    <s v="P29 - Frais d'hotel du 13 au 17/01/2025  lieu op à owando(Pour Crépin)/04 Nuitées"/>
    <s v="Travel Subsistence"/>
    <s v="Investigations"/>
    <n v="100000"/>
    <n v="175.37244723481493"/>
    <n v="570.21500000000003"/>
    <s v="P29"/>
    <s v="P29-J-R5"/>
    <s v="PALF"/>
    <x v="0"/>
    <s v="Congo"/>
    <m/>
    <m/>
    <m/>
  </r>
  <r>
    <x v="11"/>
    <s v="Achat billet oyo-brazzaville/P29"/>
    <s v="Transport"/>
    <s v="Investigations"/>
    <n v="7000"/>
    <n v="12.276071306437045"/>
    <n v="570.21500000000003"/>
    <s v="P29"/>
    <s v="P29-J-R6"/>
    <s v="PALF"/>
    <x v="0"/>
    <s v="Congo"/>
    <m/>
    <m/>
    <m/>
  </r>
  <r>
    <x v="11"/>
    <s v="P29 - CONGO Frais d'hotel du 15 au 17/01/2025  à oyo ( 02 Nuitées)"/>
    <s v="Travel Subsistence"/>
    <s v="Investigations"/>
    <n v="30000"/>
    <n v="52.611734170444478"/>
    <n v="570.21500000000003"/>
    <s v="P29"/>
    <s v="P29-J-R7"/>
    <s v="PALF"/>
    <x v="0"/>
    <s v="Congo"/>
    <m/>
    <m/>
    <m/>
  </r>
  <r>
    <x v="11"/>
    <s v="T73 - CONGO Frais d'hotel du 15 au 17/01/2025 (02nuitées ) à Oyo"/>
    <s v="Travel Subsistence"/>
    <s v="Investigations"/>
    <n v="30000"/>
    <n v="52.611734170444478"/>
    <n v="570.21500000000003"/>
    <s v="T73"/>
    <s v="T73-J-R3"/>
    <s v="PALF"/>
    <x v="0"/>
    <s v="Congo"/>
    <m/>
    <m/>
    <m/>
  </r>
  <r>
    <x v="11"/>
    <s v="achat billet : Oyo - Brazzaville /T73"/>
    <s v="Transport"/>
    <s v="Investigations"/>
    <n v="7000"/>
    <n v="12.276071306437045"/>
    <n v="570.21500000000003"/>
    <s v="T73"/>
    <s v="T73-J-R4"/>
    <s v="PALF"/>
    <x v="0"/>
    <s v="Congo"/>
    <m/>
    <m/>
    <m/>
  </r>
  <r>
    <x v="11"/>
    <s v="ABRAHAM - CONGO frais d'Hôtel (Hôtel Saint Benoit) du 17 au 17/01/2025 Oyo (02Nuitées)"/>
    <s v="Travel Subsistence"/>
    <s v="Legal"/>
    <n v="30000"/>
    <n v="52.611734170444478"/>
    <n v="570.21500000000003"/>
    <s v="Abraham"/>
    <s v="AB-J-R5"/>
    <s v="PALF"/>
    <x v="0"/>
    <s v="Congo"/>
    <m/>
    <m/>
    <m/>
  </r>
  <r>
    <x v="11"/>
    <s v="Cumul frais de Jail visit du mois de Janvier 2025/Roderlin"/>
    <s v="Jail visit"/>
    <s v="Legal"/>
    <n v="12000"/>
    <n v="21.044693668177793"/>
    <n v="570.21500000000003"/>
    <s v="Roderlin"/>
    <s v="RO-J-D2"/>
    <s v="PALF"/>
    <x v="0"/>
    <s v="Congo"/>
    <m/>
    <m/>
    <m/>
  </r>
  <r>
    <x v="11"/>
    <s v="Achat billet Dolisie -Brazzaville /Roderlin"/>
    <s v="Transport"/>
    <s v="Legal"/>
    <n v="8000"/>
    <n v="14.029795778785195"/>
    <n v="570.21500000000003"/>
    <s v="Roderlin"/>
    <s v="RO-J-R2"/>
    <s v="PALF"/>
    <x v="0"/>
    <s v="Congo"/>
    <m/>
    <m/>
    <m/>
  </r>
  <r>
    <x v="11"/>
    <s v="EVARISTE - CONGO Frais d'hôtel du 10 au 17 janvier 2025 (7 nuitées) à Owando"/>
    <s v="Travel Subsistence"/>
    <s v="Media"/>
    <n v="105000"/>
    <n v="184.14106959655567"/>
    <n v="570.21500000000003"/>
    <s v="Evariste"/>
    <s v="EV-J-R4"/>
    <s v="PALF"/>
    <x v="0"/>
    <s v="Congo"/>
    <m/>
    <m/>
    <m/>
  </r>
  <r>
    <x v="11"/>
    <s v="RAPATRIEME01100 RAO00010730"/>
    <s v="Grant"/>
    <m/>
    <m/>
    <m/>
    <n v="596.1932333333333"/>
    <s v="BCI"/>
    <s v="BQ-J-G1"/>
    <s v="PALF"/>
    <x v="0"/>
    <s v="Congo"/>
    <n v="17885797"/>
    <n v="30000"/>
    <m/>
  </r>
  <r>
    <x v="12"/>
    <s v="RODERLIN-CONGO frais d'hôtel du 16 au 18/01/2025 à DOLISIE (02 nuitées)"/>
    <s v="Travel Subsistence"/>
    <s v="Legal"/>
    <n v="30000"/>
    <n v="50.319275804982617"/>
    <n v="596.19299999999998"/>
    <s v="Roderlin"/>
    <s v="RO-J-R3"/>
    <s v="PALF"/>
    <x v="0"/>
    <s v="Congo"/>
    <m/>
    <m/>
    <m/>
  </r>
  <r>
    <x v="13"/>
    <s v="Achat billet Owando-Brazzaville/Donald-Roméo"/>
    <s v="Transport"/>
    <s v="Legal"/>
    <n v="7000"/>
    <n v="12.276071306437045"/>
    <n v="570.21500000000003"/>
    <s v="Donald-Roméo"/>
    <s v="DR-J-R4"/>
    <s v="PALF"/>
    <x v="0"/>
    <s v="Congo"/>
    <m/>
    <m/>
    <m/>
  </r>
  <r>
    <x v="13"/>
    <s v="DONALD-ROMEO - CONGO Frais d'hôtel du 09 au 19/01/2025 à  Owando (Hôtel  Joella)/ 10 Nuitées"/>
    <s v="Travel Subsistence"/>
    <s v="Legal"/>
    <n v="150000"/>
    <n v="251.59637902491309"/>
    <n v="596.19299999999998"/>
    <s v="Donald-Roméo"/>
    <s v="DR-J-R5"/>
    <s v="PALF"/>
    <x v="0"/>
    <s v="Congo"/>
    <m/>
    <m/>
    <m/>
  </r>
  <r>
    <x v="13"/>
    <s v="Cumul frais de transport local du mois de Janvier 2025/Donald-Roméo"/>
    <s v="Transport"/>
    <s v="Legal"/>
    <n v="12500"/>
    <n v="20.966364918742755"/>
    <n v="596.19299999999998"/>
    <s v="Donald-Roméo"/>
    <s v="DR-J-D2"/>
    <s v="PALF"/>
    <x v="0"/>
    <s v="Congo"/>
    <m/>
    <m/>
    <m/>
  </r>
  <r>
    <x v="14"/>
    <s v="Achat encre 216A et registre"/>
    <s v="Office Materials"/>
    <s v="Office"/>
    <n v="195000"/>
    <n v="327.07529273238703"/>
    <n v="596.19299999999998"/>
    <s v="Merveille"/>
    <s v="CA-J-R26"/>
    <s v="PALF"/>
    <x v="0"/>
    <s v="Congo"/>
    <m/>
    <m/>
    <m/>
  </r>
  <r>
    <x v="14"/>
    <s v="Prestation de nettoyage Jardin PALF mois de Janvier 2025"/>
    <s v="Services"/>
    <s v="Office"/>
    <n v="20000"/>
    <n v="33.546183869988411"/>
    <n v="596.19299999999998"/>
    <s v="Merveille"/>
    <s v="CA-J-R27"/>
    <s v="PALF"/>
    <x v="0"/>
    <s v="Congo"/>
    <m/>
    <m/>
    <m/>
  </r>
  <r>
    <x v="15"/>
    <s v="achat billet : Brazzaville - dolisie/T73"/>
    <s v="Transport"/>
    <s v="Investigations"/>
    <n v="7000"/>
    <n v="11.741164354495943"/>
    <n v="596.19299999999998"/>
    <s v="T73"/>
    <s v="T73-J-R5"/>
    <s v="PALF"/>
    <x v="0"/>
    <s v="Congo"/>
    <m/>
    <m/>
    <m/>
  </r>
  <r>
    <x v="15"/>
    <s v="Achat carte sim pour T73"/>
    <s v="Investigation materials"/>
    <s v="Investigations"/>
    <n v="10000"/>
    <n v="17.537244723481493"/>
    <n v="570.21500000000003"/>
    <s v="T73"/>
    <s v="T73-J-R16"/>
    <s v="PALF"/>
    <x v="0"/>
    <s v="Congo"/>
    <m/>
    <m/>
    <m/>
  </r>
  <r>
    <x v="15"/>
    <s v="Impréssion de la procédure de la Gendaremrie"/>
    <s v="Office Materials"/>
    <s v="Operations"/>
    <n v="24675"/>
    <n v="43.273151355190585"/>
    <n v="570.21500000000003"/>
    <s v="Romain"/>
    <s v="RM-J-R5"/>
    <s v="PALF"/>
    <x v="0"/>
    <s v="Congo"/>
    <m/>
    <m/>
    <m/>
  </r>
  <r>
    <x v="15"/>
    <s v="Cumul frais de jail visit du mois de Janvier 2025/Romain"/>
    <s v="Jail visit"/>
    <s v="Legal"/>
    <n v="26000"/>
    <n v="43.610039030984936"/>
    <n v="596.19299999999998"/>
    <s v="Romain"/>
    <s v="RM-J-D2"/>
    <s v="PALF"/>
    <x v="0"/>
    <s v="Congo"/>
    <m/>
    <m/>
    <m/>
  </r>
  <r>
    <x v="15"/>
    <s v="Bonus media portant sur l'operation du 15/01/2025"/>
    <s v="Bonus to media officer"/>
    <s v="Media"/>
    <n v="154000"/>
    <n v="258.30561579891076"/>
    <n v="596.19299999999998"/>
    <s v="Evariste"/>
    <s v="CA-J-D1"/>
    <s v="PALF"/>
    <x v="0"/>
    <s v="Congo"/>
    <m/>
    <m/>
    <m/>
  </r>
  <r>
    <x v="16"/>
    <s v="IT87 - CONGO Food Allowance mission du 22 au 30/01/2025 à Mouyondzi, Kolo, Bouansa et Madingou/(08 Nuitées)"/>
    <s v="Travel Subsistence"/>
    <s v="Investigations"/>
    <n v="80000"/>
    <n v="134.18473547995364"/>
    <n v="596.19299999999998"/>
    <s v="IT87"/>
    <s v="IT87-J-D1"/>
    <s v="PALF"/>
    <x v="0"/>
    <s v="Congo"/>
    <m/>
    <m/>
    <m/>
  </r>
  <r>
    <x v="16"/>
    <s v="Achat billet Brazzaville - Mouyondzi/ IT87"/>
    <s v="Transport"/>
    <s v="Investigations"/>
    <n v="7000"/>
    <n v="11.741164354495943"/>
    <n v="596.19299999999998"/>
    <s v="IT87"/>
    <s v="IT87-J-R1"/>
    <s v="PALF"/>
    <x v="0"/>
    <s v="Congo"/>
    <m/>
    <m/>
    <m/>
  </r>
  <r>
    <x v="16"/>
    <s v="Achat billet brazzaville-dolisie/P29"/>
    <s v="Transport"/>
    <s v="Investigations"/>
    <n v="7000"/>
    <n v="11.741164354495943"/>
    <n v="596.19299999999998"/>
    <s v="P29"/>
    <s v="P29-J-R8"/>
    <s v="PALF"/>
    <x v="0"/>
    <s v="Congo"/>
    <m/>
    <m/>
    <m/>
  </r>
  <r>
    <x v="16"/>
    <s v="P29 - CONGO Foodallowance mission du 22 au 30/01/2025 à Dolisie,Kimongo,Louvakou et ditadi (08 Nuitées)"/>
    <s v="Travel Subsistence"/>
    <s v="Investigations"/>
    <n v="80000"/>
    <n v="134.18473547995364"/>
    <n v="596.19299999999998"/>
    <s v="P29"/>
    <s v="P29-J-D2"/>
    <s v="PALF"/>
    <x v="0"/>
    <s v="Congo"/>
    <m/>
    <m/>
    <m/>
  </r>
  <r>
    <x v="16"/>
    <s v="T73 - CONGO Food Allowance du 22 au 30/01/2025 (08nuitées) à Dolisie,Kibangou,Mbanda et Passi passi"/>
    <s v="Travel Subsistence"/>
    <s v="Investigations"/>
    <n v="80000"/>
    <n v="134.18473547995364"/>
    <n v="596.19299999999998"/>
    <s v="T73"/>
    <s v="T73-J-D2"/>
    <s v="PALF"/>
    <x v="0"/>
    <s v="Congo"/>
    <m/>
    <m/>
    <m/>
  </r>
  <r>
    <x v="16"/>
    <s v="Achat billet: Brazzaville - dolisie / G12"/>
    <s v="Transport"/>
    <s v="Investigations"/>
    <n v="7000"/>
    <n v="11.741164354495943"/>
    <n v="596.19299999999998"/>
    <s v="G12"/>
    <s v="G12-J-R1"/>
    <s v="PALF"/>
    <x v="0"/>
    <s v="Congo"/>
    <m/>
    <m/>
    <m/>
  </r>
  <r>
    <x v="16"/>
    <s v="G12 - CONGO Food Allowance du 22  au 30 /01/2025 (08nuitées)"/>
    <s v="Travel Subsistence"/>
    <s v="Investigations"/>
    <n v="80000"/>
    <n v="134.18473547995364"/>
    <n v="596.19299999999998"/>
    <s v="G12"/>
    <s v="G12-J-D1"/>
    <s v="PALF"/>
    <x v="0"/>
    <s v="Congo"/>
    <m/>
    <m/>
    <m/>
  </r>
  <r>
    <x v="16"/>
    <s v="Cumul frais de transport local du mois de Janvier 2025/Abraham"/>
    <s v="Transport"/>
    <s v="Legal"/>
    <n v="14500"/>
    <n v="24.320983305741599"/>
    <n v="596.19299999999998"/>
    <s v="Abraham"/>
    <s v="AB-J-D2"/>
    <s v="PALF"/>
    <x v="0"/>
    <s v="Congo"/>
    <m/>
    <m/>
    <m/>
  </r>
  <r>
    <x v="16"/>
    <s v="Frais de transfert d'argent à Romain "/>
    <s v="Transfer Fees"/>
    <s v="Office"/>
    <n v="3330"/>
    <n v="5.5854396143530707"/>
    <n v="596.19299999999998"/>
    <s v="Abraham"/>
    <s v="CA-J-R28"/>
    <s v="PALF"/>
    <x v="0"/>
    <s v="Congo"/>
    <m/>
    <m/>
    <m/>
  </r>
  <r>
    <x v="16"/>
    <s v="Recharge bouteille de gaz de 12KG/Bureau PALF"/>
    <s v="Office Materials"/>
    <s v="Office"/>
    <n v="7500"/>
    <n v="12.579818951245654"/>
    <n v="596.19299999999998"/>
    <s v="Roderlin"/>
    <s v="CA-J-R29"/>
    <s v="PALF"/>
    <x v="0"/>
    <s v="Congo"/>
    <m/>
    <m/>
    <m/>
  </r>
  <r>
    <x v="17"/>
    <s v="Frais de notification contrat Roderlin et Abraham"/>
    <s v="Personnel"/>
    <s v="Legal"/>
    <n v="21000"/>
    <n v="35.22349306348783"/>
    <n v="596.19299999999998"/>
    <s v="Merveille"/>
    <s v="CA-J-R31"/>
    <s v="PALF"/>
    <x v="0"/>
    <s v="Congo"/>
    <m/>
    <m/>
    <m/>
  </r>
  <r>
    <x v="17"/>
    <s v="Frais de transfert d'argent à T73,P29,IT87 et G12"/>
    <s v="Transfer Fees"/>
    <s v="Office"/>
    <n v="21030"/>
    <n v="35.273812339292817"/>
    <n v="596.19299999999998"/>
    <s v="Roderlin"/>
    <s v="CA-J-R30"/>
    <s v="PALF"/>
    <x v="0"/>
    <s v="Congo"/>
    <m/>
    <m/>
    <m/>
  </r>
  <r>
    <x v="17"/>
    <s v="Paiement salaire du mois de Janvier 2025"/>
    <s v="Personnel"/>
    <s v="Management"/>
    <n v="1311000"/>
    <n v="2198.9523526777402"/>
    <n v="596.19299999999998"/>
    <s v="BCI"/>
    <s v="BQ-J-R4"/>
    <s v="PALF"/>
    <x v="0"/>
    <s v="Congo"/>
    <m/>
    <m/>
    <m/>
  </r>
  <r>
    <x v="17"/>
    <s v="Paiement salaire du mois de Janvier 2025/Loundou Jean Romain"/>
    <s v="Personnel"/>
    <s v="Legal"/>
    <n v="200000"/>
    <n v="335.46183869988408"/>
    <n v="596.19299999999998"/>
    <s v="BCI"/>
    <s v="BQ-J-R5"/>
    <s v="PALF"/>
    <x v="0"/>
    <s v="Congo"/>
    <m/>
    <m/>
    <m/>
  </r>
  <r>
    <x v="17"/>
    <s v="Paiement salaire du mois de Janvier 2025/Crepin IBOUILI IBOUILI"/>
    <s v="Personnel"/>
    <s v="Office"/>
    <n v="551482"/>
    <n v="925.00582864944738"/>
    <n v="596.19299999999998"/>
    <s v="BCI"/>
    <s v="BQ-J-R6"/>
    <s v="PALF"/>
    <x v="0"/>
    <s v="Congo"/>
    <m/>
    <m/>
    <m/>
  </r>
  <r>
    <x v="17"/>
    <s v="Paiement salaire du mois de Janvier 2025/Merveille MAHANGA"/>
    <s v="Personnel"/>
    <s v="Legal"/>
    <n v="384789"/>
    <n v="645.41012725744849"/>
    <n v="596.19299999999998"/>
    <s v="BCI"/>
    <s v="BQ-J-R7"/>
    <s v="PALF"/>
    <x v="0"/>
    <s v="Congo"/>
    <m/>
    <m/>
    <m/>
  </r>
  <r>
    <x v="17"/>
    <s v="Paiement salaire du mois de Janvier 2025 et congé/PINDI BINGA Donald-Roméo"/>
    <s v="Personnel"/>
    <s v="Legal"/>
    <n v="336400"/>
    <n v="564.24681269320502"/>
    <n v="596.19299999999998"/>
    <s v="BCI"/>
    <s v="BQ-J-R8"/>
    <s v="PALF"/>
    <x v="0"/>
    <s v="Congo"/>
    <m/>
    <m/>
    <m/>
  </r>
  <r>
    <x v="17"/>
    <s v="Paiement salaire du mois de Janvier 2025/BOUNGOU Abraham"/>
    <s v="Personnel"/>
    <s v="Legal"/>
    <n v="200000"/>
    <n v="335.46183869988408"/>
    <n v="596.19299999999998"/>
    <s v="BCI"/>
    <s v="BQ-J-R9"/>
    <s v="PALF"/>
    <x v="0"/>
    <s v="Congo"/>
    <m/>
    <m/>
    <m/>
  </r>
  <r>
    <x v="17"/>
    <s v="Paiement salaire du mois de Janvier 2025/FOUMBA Roderlin"/>
    <s v="Personnel"/>
    <s v="Legal"/>
    <n v="200000"/>
    <n v="335.46183869988408"/>
    <n v="596.19299999999998"/>
    <s v="BCI"/>
    <s v="BQ-J-R10"/>
    <s v="PALF"/>
    <x v="0"/>
    <s v="Congo"/>
    <m/>
    <m/>
    <m/>
  </r>
  <r>
    <x v="17"/>
    <s v="Paiement salaire du mois de Janvier 2025/Evariste LELOUSSI"/>
    <s v="Personnel"/>
    <s v="Media"/>
    <n v="238140"/>
    <n v="399.43441133995202"/>
    <n v="596.19299999999998"/>
    <s v="BCI"/>
    <s v="BQ-J-R11"/>
    <s v="PALF"/>
    <x v="0"/>
    <s v="Congo"/>
    <m/>
    <m/>
    <m/>
  </r>
  <r>
    <x v="18"/>
    <s v="Billet: Owando-Brazzaville/Crepin"/>
    <s v="Transport"/>
    <s v="Legal"/>
    <n v="7000"/>
    <n v="11.741164354495943"/>
    <n v="596.19299999999998"/>
    <s v="Crépin"/>
    <s v="CR-J-R6"/>
    <s v="PALF"/>
    <x v="0"/>
    <s v="Congo"/>
    <m/>
    <m/>
    <m/>
  </r>
  <r>
    <x v="18"/>
    <s v="Taxi : Mouyondzi - Village Kolo/ vérification de l'animal avec la cible"/>
    <s v="Transport"/>
    <s v="Investigations"/>
    <n v="5000"/>
    <n v="8.3865459674971028"/>
    <n v="596.19299999999998"/>
    <s v="IT87"/>
    <s v="IT87-J-R2"/>
    <s v="PALF"/>
    <x v="0"/>
    <s v="Congo"/>
    <m/>
    <m/>
    <m/>
  </r>
  <r>
    <x v="18"/>
    <s v="Taxi : Village Kolo - Mouyondzi/ Retour de la vérification avec la cible"/>
    <s v="Transport"/>
    <s v="Investigations"/>
    <n v="5000"/>
    <n v="8.3865459674971028"/>
    <n v="596.19299999999998"/>
    <s v="IT87"/>
    <s v="IT87-J-R3"/>
    <s v="PALF"/>
    <x v="0"/>
    <s v="Congo"/>
    <m/>
    <m/>
    <m/>
  </r>
  <r>
    <x v="18"/>
    <s v="P29 - CONGO Frais d'hotel du 22 au 24/01/2025 à Dolisie (02 Nuitées)"/>
    <s v="Travel Subsistence"/>
    <s v="Investigations"/>
    <n v="30000"/>
    <n v="50.319275804982617"/>
    <n v="596.19299999999998"/>
    <s v="P29"/>
    <s v="P29-J-R9"/>
    <s v="PALF"/>
    <x v="0"/>
    <s v="Congo"/>
    <m/>
    <m/>
    <m/>
  </r>
  <r>
    <x v="18"/>
    <s v="Achat billet Dolisie-kimongo/P29"/>
    <s v="Transport"/>
    <s v="Investigations"/>
    <n v="6000"/>
    <n v="10.063855160996523"/>
    <n v="596.19299999999998"/>
    <s v="P29"/>
    <s v="P29-J-R10"/>
    <s v="PALF"/>
    <x v="0"/>
    <s v="Congo"/>
    <m/>
    <m/>
    <m/>
  </r>
  <r>
    <x v="18"/>
    <s v="T73 - CONGO Frais d'hotel du 22 au 24/01/2025 (02nuitées ) à Dolisie"/>
    <s v="Travel Subsistence"/>
    <s v="Investigations"/>
    <n v="30000"/>
    <n v="50.319275804982617"/>
    <n v="596.19299999999998"/>
    <s v="T73"/>
    <s v="T73-J-R6"/>
    <s v="PALF"/>
    <x v="0"/>
    <s v="Congo"/>
    <m/>
    <m/>
    <m/>
  </r>
  <r>
    <x v="18"/>
    <s v="Achat billet: dolisie - Mbanda/T73"/>
    <s v="Transport"/>
    <s v="Investigations"/>
    <n v="15000"/>
    <n v="25.159637902491308"/>
    <n v="596.19299999999998"/>
    <s v="T73"/>
    <s v="T73-J-R7"/>
    <s v="PALF"/>
    <x v="0"/>
    <s v="Congo"/>
    <m/>
    <m/>
    <m/>
  </r>
  <r>
    <x v="18"/>
    <s v=" G12 - CONGO frais d'hotel du 22au 24 /01/2025 à Dolisie ( 2 nuitées)"/>
    <s v="Travel Subsistence"/>
    <s v="Investigations"/>
    <n v="30000"/>
    <n v="50.319275804982617"/>
    <n v="596.19299999999998"/>
    <s v="G12"/>
    <s v="G12-J-R2"/>
    <s v="PALF"/>
    <x v="0"/>
    <s v="Congo"/>
    <m/>
    <m/>
    <m/>
  </r>
  <r>
    <x v="18"/>
    <s v="Achat billet : Dolisie - mossendjo/G12"/>
    <s v="Transport"/>
    <s v="Investigations"/>
    <n v="8000"/>
    <n v="13.418473547995363"/>
    <n v="596.19299999999998"/>
    <s v="G12"/>
    <s v="G12-J-R3"/>
    <s v="PALF"/>
    <x v="0"/>
    <s v="Congo"/>
    <m/>
    <m/>
    <m/>
  </r>
  <r>
    <x v="18"/>
    <s v="Achat de Billet Owando-Brazzaville/Romain"/>
    <s v="Transport"/>
    <s v="Legal"/>
    <n v="7000"/>
    <n v="11.741164354495943"/>
    <n v="596.19299999999998"/>
    <s v="Romain"/>
    <s v="RM-J-R5"/>
    <s v="PALF"/>
    <x v="0"/>
    <s v="Congo"/>
    <m/>
    <m/>
    <m/>
  </r>
  <r>
    <x v="19"/>
    <s v="CREPIN IBOUILI  - CONGO Frais d'hôtel à Owando du 15 au 25/01/2025/10 Nuitées"/>
    <s v="Travel Subsistence"/>
    <s v="Legal"/>
    <n v="150000"/>
    <n v="251.59637902491309"/>
    <n v="596.19299999999998"/>
    <s v="Crépin"/>
    <s v="CR-J-R7"/>
    <s v="PALF"/>
    <x v="0"/>
    <s v="Congo"/>
    <m/>
    <m/>
    <m/>
  </r>
  <r>
    <x v="19"/>
    <s v="Cumul frais de transport local du mois de Janvier 2025/Crepin"/>
    <s v="Transport"/>
    <s v="Legal"/>
    <n v="13500"/>
    <n v="22.643674112242177"/>
    <n v="596.19299999999998"/>
    <s v="Crépin"/>
    <s v="CR-J-D2"/>
    <s v="PALF"/>
    <x v="0"/>
    <s v="Congo"/>
    <m/>
    <m/>
    <m/>
  </r>
  <r>
    <x v="19"/>
    <s v="ROMAIN - CONGO Frais d'hôtel de la mission du 09 au 25/2025 à Owando(16 nuitées)"/>
    <s v="Travel Subsistence"/>
    <s v="Legal"/>
    <n v="240000"/>
    <n v="402.55420643986093"/>
    <n v="596.19299999999998"/>
    <s v="Romain"/>
    <s v="RM-J-R7"/>
    <s v="PALF"/>
    <x v="0"/>
    <s v="Congo"/>
    <m/>
    <m/>
    <m/>
  </r>
  <r>
    <x v="20"/>
    <s v="IT87 - CONGO Frais d'hôtel DZA-MATSAKA du 22 au 26/01/2025 à Mouyondzi (04 nuitées)"/>
    <s v="Travel Subsistence"/>
    <s v="Investigations"/>
    <n v="60000"/>
    <n v="100.63855160996523"/>
    <n v="596.19299999999998"/>
    <s v="IT87"/>
    <s v="IT87-J-R4"/>
    <s v="PALF"/>
    <x v="0"/>
    <s v="Congo"/>
    <m/>
    <m/>
    <m/>
  </r>
  <r>
    <x v="20"/>
    <s v="Achat billet Mouyondzi - Bouansa/ IT87"/>
    <s v="Transport"/>
    <s v="Investigations"/>
    <n v="3000"/>
    <n v="5.0319275804982615"/>
    <n v="596.19299999999998"/>
    <s v="IT87"/>
    <s v="IT87-J-R5"/>
    <s v="PALF"/>
    <x v="0"/>
    <s v="Congo"/>
    <m/>
    <m/>
    <m/>
  </r>
  <r>
    <x v="20"/>
    <s v="P29 - CONGO Frais d'hotel du 24 au 26/01/2025 à kimongo ( 02 Nuitées)"/>
    <s v="Travel Subsistence"/>
    <s v="Investigations"/>
    <n v="30000"/>
    <n v="50.319275804982617"/>
    <n v="596.19299999999998"/>
    <s v="P29"/>
    <s v="P29-J-R11"/>
    <s v="PALF"/>
    <x v="0"/>
    <s v="Congo"/>
    <m/>
    <m/>
    <m/>
  </r>
  <r>
    <x v="20"/>
    <s v="Achat billet kimongo-dolisie/P29"/>
    <s v="Transport"/>
    <s v="Investigations"/>
    <n v="6000"/>
    <n v="10.063855160996523"/>
    <n v="596.19299999999998"/>
    <s v="P29"/>
    <s v="P29-J-R12"/>
    <s v="PALF"/>
    <x v="0"/>
    <s v="Congo"/>
    <m/>
    <m/>
    <m/>
  </r>
  <r>
    <x v="20"/>
    <s v="Achat billet dolisie-louvakou/P29"/>
    <s v="Transport"/>
    <s v="Investigations"/>
    <n v="5000"/>
    <n v="8.3865459674971028"/>
    <n v="596.19299999999998"/>
    <s v="P29"/>
    <s v="P29-J-R13"/>
    <s v="PALF"/>
    <x v="0"/>
    <s v="Congo"/>
    <m/>
    <m/>
    <m/>
  </r>
  <r>
    <x v="20"/>
    <s v="T73 - CONGO Frais d'hotel du 24 au 26/01/2025 (02nuitées ) à MBanda"/>
    <s v="Travel Subsistence"/>
    <s v="Investigations"/>
    <n v="30000"/>
    <n v="50.319275804982617"/>
    <n v="596.19299999999998"/>
    <s v="T73"/>
    <s v="T73-J-R8"/>
    <s v="PALF"/>
    <x v="0"/>
    <s v="Congo"/>
    <m/>
    <m/>
    <m/>
  </r>
  <r>
    <x v="20"/>
    <s v="achat billet : MBanda - kibangou/T73"/>
    <s v="Transport"/>
    <s v="Investigations"/>
    <n v="7000"/>
    <n v="11.741164354495943"/>
    <n v="596.19299999999998"/>
    <s v="T73"/>
    <s v="T73-J-R9"/>
    <s v="PALF"/>
    <x v="0"/>
    <s v="Congo"/>
    <m/>
    <m/>
    <m/>
  </r>
  <r>
    <x v="20"/>
    <s v="G12 congo frais d'hotel du 24 au 26/01/2025   à mossendjo(2nuitées)"/>
    <s v="Travel Subsistence"/>
    <s v="Investigations"/>
    <n v="30000"/>
    <n v="50.319275804982617"/>
    <n v="596.19299999999998"/>
    <s v="G12"/>
    <s v="G12-J-R4"/>
    <s v="PALF"/>
    <x v="0"/>
    <s v="Congo"/>
    <m/>
    <m/>
    <m/>
  </r>
  <r>
    <x v="20"/>
    <s v="Achat billet :Mossendjo makabana/G12"/>
    <s v="Transport"/>
    <s v="Investigations"/>
    <n v="5000"/>
    <n v="8.3865459674971028"/>
    <n v="596.19299999999998"/>
    <s v="G12"/>
    <s v="G12-J-R5"/>
    <s v="PALF"/>
    <x v="0"/>
    <s v="Congo"/>
    <m/>
    <m/>
    <m/>
  </r>
  <r>
    <x v="21"/>
    <s v="Prime de fin d'année Donald-Roméo"/>
    <s v="Personnel"/>
    <s v="Legal"/>
    <n v="127070"/>
    <n v="213.13567921797136"/>
    <n v="596.19299999999998"/>
    <s v="Merveille"/>
    <s v="CA-J-D2"/>
    <s v="PALF"/>
    <x v="0"/>
    <s v="Congo"/>
    <m/>
    <m/>
    <m/>
  </r>
  <r>
    <x v="21"/>
    <s v="Cumul frais de trust building du mois de Janvier 2025/IT87"/>
    <s v="Trust Building"/>
    <s v="Investigations"/>
    <n v="17500"/>
    <n v="30.690178266092612"/>
    <n v="570.21500000000003"/>
    <s v="IT87"/>
    <s v="IT87-J-D2"/>
    <s v="PALF"/>
    <x v="0"/>
    <s v="Congo"/>
    <m/>
    <m/>
    <m/>
  </r>
  <r>
    <x v="21"/>
    <s v="Cumul frais de trust building du mois de Janvier 2025/G12"/>
    <s v="Trust Building"/>
    <s v="Investigations"/>
    <n v="6000"/>
    <n v="10.522346834088896"/>
    <n v="570.21500000000003"/>
    <s v="G12"/>
    <s v="G12-J-D2"/>
    <s v="PALF"/>
    <x v="0"/>
    <s v="Congo"/>
    <m/>
    <m/>
    <m/>
  </r>
  <r>
    <x v="21"/>
    <s v="Bonus du mois de Janvier 2025/Donald-Roméo"/>
    <s v="Personnel"/>
    <s v="Legal"/>
    <n v="30000"/>
    <n v="50.319275804982617"/>
    <n v="596.19299999999998"/>
    <s v="Donald-Roméo"/>
    <s v="CA-J-D3"/>
    <s v="PALF"/>
    <x v="0"/>
    <s v="Congo"/>
    <m/>
    <m/>
    <m/>
  </r>
  <r>
    <x v="21"/>
    <s v="Bonus Opération du 15/01/2025 à Owando"/>
    <s v="Bonus"/>
    <s v="Operations"/>
    <n v="30000"/>
    <n v="52.611734170444478"/>
    <n v="570.21500000000003"/>
    <s v="Donald-Roméo"/>
    <s v="CA-J-D4"/>
    <s v="PALF"/>
    <x v="0"/>
    <s v="Congo"/>
    <m/>
    <m/>
    <m/>
  </r>
  <r>
    <x v="22"/>
    <s v="Paiement retraite Coordinateur periode Octobre,Novembre et Decembre 2024"/>
    <s v="Personnel"/>
    <s v="Management"/>
    <n v="150000"/>
    <n v="251.59637902491309"/>
    <n v="596.19299999999998"/>
    <s v="DOVI"/>
    <s v="CA-J-R33"/>
    <s v="PALF"/>
    <x v="0"/>
    <s v="Congo"/>
    <m/>
    <m/>
    <m/>
  </r>
  <r>
    <x v="22"/>
    <s v="IT87 - CONGO Frais d'hôtel le Point de Repère du 26 au 28/01/2025 à Bouansa (02 Nuitées)"/>
    <s v="Travel Subsistence"/>
    <s v="Investigations"/>
    <n v="30000"/>
    <n v="50.319275804982617"/>
    <n v="596.19299999999998"/>
    <s v="IT87"/>
    <s v="IT87-J-R6"/>
    <s v="PALF"/>
    <x v="0"/>
    <s v="Congo"/>
    <m/>
    <m/>
    <m/>
  </r>
  <r>
    <x v="22"/>
    <s v="Achat billet Bouansa - Madingou/ IT87"/>
    <s v="Transport"/>
    <s v="Investigations"/>
    <n v="2000"/>
    <n v="3.3546183869988409"/>
    <n v="596.19299999999998"/>
    <s v="IT87"/>
    <s v="IT87-J-R7"/>
    <s v="PALF"/>
    <x v="0"/>
    <s v="Congo"/>
    <m/>
    <m/>
    <m/>
  </r>
  <r>
    <x v="22"/>
    <s v="P29 - CONGO Frais d'hotel du 26 au 28/01/2025 à louvakou (02 Nuitées)"/>
    <s v="Travel Subsistence"/>
    <s v="Investigations"/>
    <n v="30000"/>
    <n v="50.319275804982617"/>
    <n v="596.19299999999998"/>
    <s v="P29"/>
    <s v="P29-J-R14"/>
    <s v="PALF"/>
    <x v="0"/>
    <s v="Congo"/>
    <m/>
    <m/>
    <m/>
  </r>
  <r>
    <x v="22"/>
    <s v="Achat billet louvakou-ditadi/P29"/>
    <s v="Transport"/>
    <s v="Investigations"/>
    <n v="5000"/>
    <n v="8.3865459674971028"/>
    <n v="596.19299999999998"/>
    <s v="P29"/>
    <s v="P29-J-R15"/>
    <s v="PALF"/>
    <x v="0"/>
    <s v="Congo"/>
    <m/>
    <m/>
    <m/>
  </r>
  <r>
    <x v="22"/>
    <s v="T73 - CONGO Frais d'hotel du 26 au 28/01/2025 (02nuitées ) à Kibangou"/>
    <s v="Travel Subsistence"/>
    <s v="Investigations"/>
    <n v="30000"/>
    <n v="50.319275804982617"/>
    <n v="596.19299999999998"/>
    <s v="T73"/>
    <s v="T73-J-R10"/>
    <s v="PALF"/>
    <x v="0"/>
    <s v="Congo"/>
    <m/>
    <m/>
    <m/>
  </r>
  <r>
    <x v="22"/>
    <s v="Achat billet : kibangou - Passi Passi/T73"/>
    <s v="Transport"/>
    <s v="Investigations"/>
    <n v="5000"/>
    <n v="8.3865459674971028"/>
    <n v="596.19299999999998"/>
    <s v="T73"/>
    <s v="T73-J-R11"/>
    <s v="PALF"/>
    <x v="0"/>
    <s v="Congo"/>
    <m/>
    <m/>
    <m/>
  </r>
  <r>
    <x v="22"/>
    <s v="G12 - CONGO frais d'hotel du 26 au 28 /01/2025  à makabana (2nuitées)"/>
    <s v="Travel Subsistence"/>
    <s v="Investigations"/>
    <n v="30000"/>
    <n v="50.319275804982617"/>
    <n v="596.19299999999998"/>
    <s v="G12"/>
    <s v="G12-J-R6"/>
    <s v="PALF"/>
    <x v="0"/>
    <s v="Congo"/>
    <m/>
    <m/>
    <m/>
  </r>
  <r>
    <x v="22"/>
    <s v="Achat du billet makabana  - mila mila/G12"/>
    <s v="Transport"/>
    <s v="Investigations"/>
    <n v="5000"/>
    <n v="8.3865459674971028"/>
    <n v="596.19299999999998"/>
    <s v="G12"/>
    <s v="G12-J-R7"/>
    <s v="PALF"/>
    <x v="0"/>
    <s v="Congo"/>
    <m/>
    <m/>
    <m/>
  </r>
  <r>
    <x v="22"/>
    <s v="Achat carburant 100litre de Gazoil/Groupe electrogène PALF"/>
    <s v="Office Materials"/>
    <s v="Office"/>
    <n v="62500"/>
    <n v="104.83182459371379"/>
    <n v="596.19299999999998"/>
    <s v="Roderlin"/>
    <s v="CA-J-R32"/>
    <s v="PALF"/>
    <x v="0"/>
    <s v="Congo"/>
    <m/>
    <m/>
    <m/>
  </r>
  <r>
    <x v="22"/>
    <s v="Frais de virement salaire Janvier 2025"/>
    <s v="Bank fees"/>
    <s v="Office"/>
    <n v="10665"/>
    <n v="17.888502548671319"/>
    <n v="596.19299999999998"/>
    <s v="BCI"/>
    <s v="BQ-J-R12"/>
    <s v="PALF"/>
    <x v="0"/>
    <s v="Congo"/>
    <m/>
    <m/>
    <m/>
  </r>
  <r>
    <x v="23"/>
    <s v="Règlement prestation technicienne de surface (mois de Janvier 2025)"/>
    <s v="Services"/>
    <s v="Office"/>
    <n v="75625"/>
    <n v="126.84650775839368"/>
    <n v="596.19299999999998"/>
    <s v="Merveille"/>
    <s v="CA-J-R34"/>
    <s v="PALF"/>
    <x v="0"/>
    <s v="Congo"/>
    <m/>
    <m/>
    <m/>
  </r>
  <r>
    <x v="23"/>
    <s v="P29 - CONGO Frais d'hotel du 28 au 29/01/2025 à Ditadi/ 01 Nuitée"/>
    <s v="Travel Subsistence"/>
    <s v="Investigations"/>
    <n v="15000"/>
    <n v="25.159637902491308"/>
    <n v="596.19299999999998"/>
    <s v="P29"/>
    <s v="P29-J-R16"/>
    <s v="PALF"/>
    <x v="0"/>
    <s v="Congo"/>
    <m/>
    <m/>
    <m/>
  </r>
  <r>
    <x v="23"/>
    <s v="Achat billet ditadi-dolisie/P29"/>
    <s v="Transport"/>
    <s v="Investigations"/>
    <n v="3000"/>
    <n v="5.0319275804982615"/>
    <n v="596.19299999999998"/>
    <s v="P29"/>
    <s v="P29-J-R17"/>
    <s v="PALF"/>
    <x v="0"/>
    <s v="Congo"/>
    <m/>
    <m/>
    <m/>
  </r>
  <r>
    <x v="23"/>
    <s v="Cumul frais de trust building du mois de Janvier 2025/P29"/>
    <s v="Trust Building"/>
    <s v="Investigations"/>
    <n v="70200"/>
    <n v="123.11145795884008"/>
    <n v="570.21500000000003"/>
    <s v="P29"/>
    <s v="P29-J-D3"/>
    <s v="PALF"/>
    <x v="0"/>
    <s v="Congo"/>
    <m/>
    <m/>
    <m/>
  </r>
  <r>
    <x v="23"/>
    <s v="Achat  billet : Passi Passi pour Dolisie/T73"/>
    <s v="Transport"/>
    <s v="Investigations"/>
    <n v="2500"/>
    <n v="4.1932729837485514"/>
    <n v="596.19299999999998"/>
    <s v="T73"/>
    <s v="T73-J-R12"/>
    <s v="PALF"/>
    <x v="0"/>
    <s v="Congo"/>
    <m/>
    <m/>
    <m/>
  </r>
  <r>
    <x v="23"/>
    <s v="T73 - CONGO Frais d'hotel du 28 au 29/01/2025 (01nuitée ) à Passi Passi"/>
    <s v="Travel Subsistence"/>
    <s v="Investigations"/>
    <n v="15000"/>
    <n v="25.159637902491308"/>
    <n v="596.19299999999998"/>
    <s v="T73"/>
    <s v="T73-J-R13"/>
    <s v="PALF"/>
    <x v="0"/>
    <s v="Congo"/>
    <m/>
    <m/>
    <m/>
  </r>
  <r>
    <x v="23"/>
    <s v="Cumul frais de trust building du mois de Janvier 2025/T73"/>
    <s v="Trust Building"/>
    <s v="Investigations"/>
    <n v="32000"/>
    <n v="56.119183115140778"/>
    <n v="570.21500000000003"/>
    <s v="T73"/>
    <s v="T73-J-D3"/>
    <s v="PALF"/>
    <x v="0"/>
    <s v="Congo"/>
    <m/>
    <m/>
    <m/>
  </r>
  <r>
    <x v="23"/>
    <s v="G12-CONGO frais d'hotel du 28 au 29 /01/2025 à  mila mila( 1 nuitée)"/>
    <s v="Travel Subsistence"/>
    <s v="Investigations"/>
    <n v="15000"/>
    <n v="25.159637902491308"/>
    <n v="596.19299999999998"/>
    <s v="G12"/>
    <s v="G12-J-R8"/>
    <s v="PALF"/>
    <x v="0"/>
    <s v="Congo"/>
    <m/>
    <m/>
    <m/>
  </r>
  <r>
    <x v="23"/>
    <s v="Achat du billet mila mila -dolisie/G12"/>
    <s v="Transport"/>
    <s v="Investigations"/>
    <n v="3000"/>
    <n v="5.0319275804982615"/>
    <n v="596.19299999999998"/>
    <s v="G12"/>
    <s v="G12-J-R9"/>
    <s v="PALF"/>
    <x v="0"/>
    <s v="Congo"/>
    <m/>
    <m/>
    <m/>
  </r>
  <r>
    <x v="23"/>
    <s v="G12 - CONGO frais d'hotel du 29 au 30 /01/2025 à  Dolisie( 1 nuitée)"/>
    <s v="Travel Subsistence"/>
    <s v="Investigations"/>
    <n v="15000"/>
    <n v="25.159637902491308"/>
    <n v="596.19299999999998"/>
    <s v="G12"/>
    <s v="G12-J-R10"/>
    <s v="PALF"/>
    <x v="0"/>
    <s v="Congo"/>
    <m/>
    <m/>
    <m/>
  </r>
  <r>
    <x v="24"/>
    <s v="IT87 - CONGO Frais d'hôtel Dzongo Benoit du 28 au 30/01/2025 à Madingou (02 Nuitées)"/>
    <s v="Travel Subsistence"/>
    <s v="Investigations"/>
    <n v="30000"/>
    <n v="50.319275804982617"/>
    <n v="596.19299999999998"/>
    <s v="IT87"/>
    <s v="IT87-J-R8"/>
    <s v="PALF"/>
    <x v="0"/>
    <s v="Congo"/>
    <m/>
    <m/>
    <m/>
  </r>
  <r>
    <x v="24"/>
    <s v="Achat billet Madingou - Brazzaville/ IT87"/>
    <s v="Transport"/>
    <s v="Investigations"/>
    <n v="7000"/>
    <n v="11.741164354495943"/>
    <n v="596.19299999999998"/>
    <s v="IT87"/>
    <s v="IT87-J-R9"/>
    <s v="PALF"/>
    <x v="0"/>
    <s v="Congo"/>
    <m/>
    <m/>
    <m/>
  </r>
  <r>
    <x v="24"/>
    <s v="Cumul frais de transport local du mois de Janvier 2025/IT87"/>
    <s v="Transport"/>
    <s v="Investigations"/>
    <n v="39300"/>
    <n v="65.918251304527232"/>
    <n v="596.19299999999998"/>
    <s v="IT87"/>
    <s v="IT87-J-D3"/>
    <s v="PALF"/>
    <x v="0"/>
    <s v="Congo"/>
    <m/>
    <m/>
    <m/>
  </r>
  <r>
    <x v="24"/>
    <s v="Achat billet Dolisie-Brazzaville/P29"/>
    <s v="Transport"/>
    <s v="Investigations"/>
    <n v="7000"/>
    <n v="11.741164354495943"/>
    <n v="596.19299999999998"/>
    <s v="P29"/>
    <s v="P29-J-R18"/>
    <s v="PALF"/>
    <x v="0"/>
    <s v="Congo"/>
    <m/>
    <m/>
    <m/>
  </r>
  <r>
    <x v="24"/>
    <s v="P29 - CONGO Frais d'hotel du 29 au 30/01/2025 à Dolisie (01 Nuitée)"/>
    <s v="Travel Subsistence"/>
    <s v="Investigations"/>
    <n v="15000"/>
    <n v="25.159637902491308"/>
    <n v="596.19299999999998"/>
    <s v="P29"/>
    <s v="P29-J-R19"/>
    <s v="PALF"/>
    <x v="0"/>
    <s v="Congo"/>
    <m/>
    <m/>
    <m/>
  </r>
  <r>
    <x v="24"/>
    <s v="Cumul frais de transport local du mois de Janvier 2025/P29"/>
    <s v="Transport"/>
    <s v="Investigations"/>
    <n v="54800"/>
    <n v="91.916543803768249"/>
    <n v="596.19299999999998"/>
    <s v="P29"/>
    <s v="P29-J-D4"/>
    <s v="PALF"/>
    <x v="0"/>
    <s v="Congo"/>
    <m/>
    <m/>
    <m/>
  </r>
  <r>
    <x v="24"/>
    <s v="T73 - CONGO Frais d'hotel du 29 au 30/01/2025 (01nuitées ) à Dolisie"/>
    <s v="Travel Subsistence"/>
    <s v="Investigations"/>
    <n v="15000"/>
    <n v="25.159637902491308"/>
    <n v="596.19299999999998"/>
    <s v="T73"/>
    <s v="T73-J-R14"/>
    <s v="PALF"/>
    <x v="0"/>
    <s v="Congo"/>
    <m/>
    <m/>
    <m/>
  </r>
  <r>
    <x v="24"/>
    <s v="Achat billet : Dolisie - Brazzaville/ T73"/>
    <s v="Transport"/>
    <s v="Investigations"/>
    <n v="8000"/>
    <n v="13.418473547995363"/>
    <n v="596.19299999999998"/>
    <s v="T73"/>
    <s v="T73-J-R15"/>
    <s v="PALF"/>
    <x v="0"/>
    <s v="Congo"/>
    <m/>
    <m/>
    <m/>
  </r>
  <r>
    <x v="24"/>
    <s v="Cumul frais de transport local du mois de Janvier 2025/T73"/>
    <s v="Transport"/>
    <s v="Investigations"/>
    <n v="63400"/>
    <n v="106.34140286786327"/>
    <n v="596.19299999999998"/>
    <s v="T73"/>
    <s v="T73-J-D4"/>
    <s v="PALF"/>
    <x v="0"/>
    <s v="Congo"/>
    <m/>
    <m/>
    <m/>
  </r>
  <r>
    <x v="24"/>
    <s v="Achat billet : Dolisie - brazzaville/G12"/>
    <s v="Transport"/>
    <s v="Investigations"/>
    <n v="8000"/>
    <n v="13.418473547995363"/>
    <n v="596.19299999999998"/>
    <s v="G12"/>
    <s v="G12-J-R11"/>
    <s v="PALF"/>
    <x v="0"/>
    <s v="Congo"/>
    <m/>
    <m/>
    <m/>
  </r>
  <r>
    <x v="24"/>
    <s v="Cumul frais de transport local du mois Janvier 2025/G12"/>
    <s v="Transport"/>
    <s v="Investigations"/>
    <n v="38500"/>
    <n v="64.576403949727691"/>
    <n v="596.19299999999998"/>
    <s v="G12"/>
    <s v="G12-J-D3"/>
    <s v="PALF"/>
    <x v="0"/>
    <s v="Congo"/>
    <m/>
    <m/>
    <m/>
  </r>
  <r>
    <x v="24"/>
    <s v="Cumul frais de transport local du mois de Janvier 2025/Roderlin"/>
    <s v="Transport"/>
    <s v="Legal"/>
    <n v="33500"/>
    <n v="56.189857982230585"/>
    <n v="596.19299999999998"/>
    <s v="Roderlin"/>
    <s v="RO-J-D3"/>
    <s v="PALF"/>
    <x v="0"/>
    <s v="Congo"/>
    <m/>
    <m/>
    <m/>
  </r>
  <r>
    <x v="24"/>
    <s v="Cumul frais de transport local du mois de Janvier 2025/EVARISTE"/>
    <s v="Transport"/>
    <s v="Media"/>
    <n v="24500"/>
    <n v="41.094075240735805"/>
    <n v="596.19299999999998"/>
    <s v="Evariste"/>
    <s v="EV-J-D2"/>
    <s v="PALF"/>
    <x v="0"/>
    <s v="Congo"/>
    <m/>
    <m/>
    <m/>
  </r>
  <r>
    <x v="24"/>
    <s v="Bonus media portant sur le bilan des interpellation de 2023 et 2024"/>
    <s v="Bonus to media officer"/>
    <s v="Media"/>
    <n v="148000"/>
    <n v="248.24176063791424"/>
    <n v="596.19299999999998"/>
    <s v="Evariste"/>
    <s v="CA-J-D5"/>
    <s v="PALF"/>
    <x v="0"/>
    <s v="Congo"/>
    <m/>
    <m/>
    <m/>
  </r>
  <r>
    <x v="25"/>
    <s v="Cumul frais de transport local du mois de Janvier 2025/DOVI"/>
    <s v="Transport"/>
    <s v="Management"/>
    <n v="25500"/>
    <n v="42.771384434235223"/>
    <n v="596.19299999999998"/>
    <s v="DOVI"/>
    <s v="DH-J-D1"/>
    <s v="PALF"/>
    <x v="0"/>
    <s v="Congo"/>
    <m/>
    <m/>
    <m/>
  </r>
  <r>
    <x v="25"/>
    <s v="Reglement loyer du mois de Janvier 2025/DOVI Coordinateur PALF"/>
    <s v="Personnel"/>
    <s v="Management"/>
    <n v="174625"/>
    <n v="292.9001179148363"/>
    <n v="596.19299999999998"/>
    <s v="DOVI"/>
    <s v="DH-J-R3"/>
    <s v="PALF"/>
    <x v="0"/>
    <s v="Congo"/>
    <m/>
    <m/>
    <m/>
  </r>
  <r>
    <x v="25"/>
    <s v="Cumul frais de transport local du mois de Janvier 2025/Merveille"/>
    <s v="Transport"/>
    <s v="Office"/>
    <n v="41000"/>
    <n v="68.769676933476248"/>
    <n v="596.19299999999998"/>
    <s v="Merveille"/>
    <s v="ME-J-D1"/>
    <s v="PALF"/>
    <x v="0"/>
    <s v="Congo"/>
    <m/>
    <m/>
    <m/>
  </r>
  <r>
    <x v="25"/>
    <s v="Ramassage Ordure/bureau PALF"/>
    <s v="Services"/>
    <s v="Office"/>
    <n v="6000"/>
    <n v="10.063855160996523"/>
    <n v="596.19299999999998"/>
    <s v="Merveille"/>
    <s v="CA-J-R35"/>
    <s v="PALF"/>
    <x v="0"/>
    <s v="Congo"/>
    <m/>
    <m/>
    <m/>
  </r>
  <r>
    <x v="25"/>
    <s v="Reglement facture internet perionde du 01/02 au 28/02/2025 bureau PALF"/>
    <s v="Internet "/>
    <s v="Office"/>
    <n v="45050"/>
    <n v="75.562779167148889"/>
    <n v="596.19299999999998"/>
    <s v="Merveille"/>
    <s v="CA-J-R36"/>
    <s v="PALF"/>
    <x v="0"/>
    <s v="Congo"/>
    <m/>
    <m/>
    <m/>
  </r>
  <r>
    <x v="25"/>
    <s v="Cumul frais de transport local du mois de Janvier 2025/LOUNDOU Jean Romain"/>
    <s v="Transport"/>
    <s v="Legal"/>
    <n v="38000"/>
    <n v="63.737749352977978"/>
    <n v="596.19299999999998"/>
    <s v="Romain"/>
    <s v="RM-J-D3"/>
    <s v="PALF"/>
    <x v="0"/>
    <s v="Congo"/>
    <m/>
    <m/>
    <m/>
  </r>
  <r>
    <x v="25"/>
    <s v="Installation Pack office et activation et installation des pratiques logiques"/>
    <s v="Website and software"/>
    <s v="Office"/>
    <n v="50000"/>
    <n v="83.865459674971021"/>
    <n v="596.19299999999998"/>
    <s v="Abraham"/>
    <s v="CA-J-R37"/>
    <s v="PALF"/>
    <x v="0"/>
    <s v="Congo"/>
    <m/>
    <m/>
    <m/>
  </r>
  <r>
    <x v="25"/>
    <s v="Reglement honoraire du mois de Janvier 2025/G12"/>
    <s v="Personnel"/>
    <s v="Investigations"/>
    <n v="255000"/>
    <n v="427.71384434235222"/>
    <n v="596.19299999999998"/>
    <s v="BCI"/>
    <s v="BQ-J-R15"/>
    <s v="PALF"/>
    <x v="0"/>
    <s v="Congo"/>
    <m/>
    <m/>
    <m/>
  </r>
  <r>
    <x v="25"/>
    <s v="Reglement honoraire du mois de Janvier 2025/T73"/>
    <s v="Personnel"/>
    <s v="Investigations"/>
    <n v="335000"/>
    <n v="561.89857982230592"/>
    <n v="596.19299999999998"/>
    <s v="BCI"/>
    <s v="BQ-J-R16"/>
    <s v="PALF"/>
    <x v="0"/>
    <s v="Congo"/>
    <m/>
    <m/>
    <m/>
  </r>
  <r>
    <x v="25"/>
    <s v="Reglement honoraire du mois de Janvier 2025/P29"/>
    <s v="Personnel"/>
    <s v="Investigations"/>
    <n v="400000"/>
    <n v="670.92367739976817"/>
    <n v="596.19299999999998"/>
    <s v="BCI"/>
    <s v="BQ-J-R17"/>
    <s v="PALF"/>
    <x v="0"/>
    <s v="Congo"/>
    <m/>
    <m/>
    <m/>
  </r>
  <r>
    <x v="25"/>
    <s v="Reglement honoraire du mois de Janvier 2025/TIT87"/>
    <s v="Personnel"/>
    <s v="Investigations"/>
    <n v="255000"/>
    <n v="427.71384434235222"/>
    <n v="596.19299999999998"/>
    <s v="BCI"/>
    <s v="BQ-J-R18"/>
    <s v="PALF"/>
    <x v="0"/>
    <s v="Congo"/>
    <m/>
    <m/>
    <m/>
  </r>
  <r>
    <x v="26"/>
    <s v="Achat credit  teléphonique MTN/PALF/Première partie du mois de Février 2025/Management"/>
    <s v="Telephone"/>
    <s v="Management"/>
    <n v="42000"/>
    <n v="70.446986126975659"/>
    <n v="579.25099999999998"/>
    <s v="Merveille"/>
    <s v="CA-F-R1"/>
    <s v="PALF"/>
    <x v="1"/>
    <s v="Congo"/>
    <m/>
    <m/>
    <m/>
  </r>
  <r>
    <x v="26"/>
    <s v="Achat credit  teléphonique MTN/PALF/Première partie du mois de Février 2025/Legal"/>
    <s v="Telephone"/>
    <s v="Legal"/>
    <n v="74000"/>
    <n v="124.12088031895712"/>
    <n v="579.25099999999998"/>
    <s v="Merveille"/>
    <s v="CA-F-R2"/>
    <s v="PALF"/>
    <x v="1"/>
    <s v="Congo"/>
    <m/>
    <m/>
    <m/>
  </r>
  <r>
    <x v="26"/>
    <s v="Achat credit  teléphonique MTN/PALF/Première partie du mois de Février 2025/Investigation"/>
    <s v="Telephone"/>
    <s v="Investigations"/>
    <n v="88000"/>
    <n v="147.60320902794902"/>
    <n v="579.25099999999998"/>
    <s v="Merveille"/>
    <s v="CA-F-R3"/>
    <s v="PALF"/>
    <x v="1"/>
    <s v="Congo"/>
    <m/>
    <m/>
    <m/>
  </r>
  <r>
    <x v="26"/>
    <s v="Achat credit  teléphonique MTN/PALF/Première partie du mois de Février 2025/Media"/>
    <s v="Telephone"/>
    <s v="Media"/>
    <n v="10000"/>
    <n v="16.773091934994206"/>
    <n v="579.25099999999998"/>
    <s v="Merveille"/>
    <s v="CA-F-R4"/>
    <s v="PALF"/>
    <x v="1"/>
    <s v="Congo"/>
    <m/>
    <m/>
    <m/>
  </r>
  <r>
    <x v="26"/>
    <s v="Achat credit  teléphonique Airtel/PALF/Première partie du mois de Février 2025/Legal"/>
    <s v="Telephone"/>
    <s v="Legal"/>
    <n v="10000"/>
    <n v="16.773091934994206"/>
    <n v="579.25099999999998"/>
    <s v="Merveille"/>
    <s v="CA-F-R5"/>
    <s v="PALF"/>
    <x v="1"/>
    <s v="Congo"/>
    <m/>
    <m/>
    <m/>
  </r>
  <r>
    <x v="26"/>
    <s v="Achat credit  teléphonique Airtel/PALF/Première partie du mois de Février 2025/Investigation"/>
    <s v="Telephone"/>
    <s v="Investigations"/>
    <n v="16000"/>
    <n v="26.836947095990727"/>
    <n v="579.25099999999998"/>
    <s v="Merveille"/>
    <s v="CA-F-R6"/>
    <s v="PALF"/>
    <x v="1"/>
    <s v="Congo"/>
    <m/>
    <m/>
    <m/>
  </r>
  <r>
    <x v="26"/>
    <s v="Achat credit  teléphonique Airtel/PALF/Première partie du mois de Février 2025/Media"/>
    <s v="Telephone"/>
    <s v="Media"/>
    <n v="11000"/>
    <n v="18.450401128493628"/>
    <n v="579.25099999999998"/>
    <s v="Merveille"/>
    <s v="CA-F-R7"/>
    <s v="PALF"/>
    <x v="1"/>
    <s v="Congo"/>
    <m/>
    <m/>
    <m/>
  </r>
  <r>
    <x v="27"/>
    <s v="Achat  Billet  Brazzaville-Owando/Romain"/>
    <s v="Transport"/>
    <s v="Legal"/>
    <n v="7000"/>
    <n v="11.741164354495943"/>
    <n v="579.25099999999998"/>
    <s v="Romain"/>
    <s v="RM-F-R1"/>
    <s v="PALF"/>
    <x v="1"/>
    <s v="Congo"/>
    <m/>
    <m/>
    <m/>
  </r>
  <r>
    <x v="27"/>
    <s v="Frais de mission maitre Alain BANZOUZI du 05 au 07 Février 2025 à Owando suivi audience"/>
    <s v="Lawyer Fees"/>
    <s v="Legal"/>
    <n v="70000"/>
    <n v="117.41164354495943"/>
    <n v="579.25099999999998"/>
    <s v="Romain"/>
    <s v="CA-F-R8"/>
    <s v="PALF"/>
    <x v="1"/>
    <s v="Congo"/>
    <m/>
    <m/>
    <m/>
  </r>
  <r>
    <x v="27"/>
    <s v=" Achat billet Brazzaville- Owando/Roderlin"/>
    <s v="Transport"/>
    <s v="Legal"/>
    <n v="7000"/>
    <n v="11.741164354495943"/>
    <n v="579.25099999999998"/>
    <s v="Roderlin"/>
    <s v="RO-F-R1"/>
    <s v="PALF"/>
    <x v="1"/>
    <s v="Congo"/>
    <m/>
    <m/>
    <m/>
  </r>
  <r>
    <x v="27"/>
    <s v="Reglement Facture Gardiennage Mois de Janvier 2025/36564792"/>
    <s v="Services"/>
    <s v="Office"/>
    <n v="260000"/>
    <n v="436.10039030984933"/>
    <n v="579.25099999999998"/>
    <s v="BCI"/>
    <s v="BQ-F-R1"/>
    <s v="PALF"/>
    <x v="1"/>
    <s v="Congo"/>
    <m/>
    <m/>
    <m/>
  </r>
  <r>
    <x v="27"/>
    <s v="Achat billet Brazzaville - Makoua/ IT87"/>
    <s v="Transport"/>
    <s v="Investigations"/>
    <n v="9000"/>
    <n v="15.095782741494785"/>
    <n v="579.25099999999998"/>
    <s v="IT87"/>
    <s v="IT87-F-R1"/>
    <s v="PALF"/>
    <x v="1"/>
    <s v="Congo"/>
    <m/>
    <m/>
    <m/>
  </r>
  <r>
    <x v="28"/>
    <s v="Achat billet brazzaville-oyo/P29"/>
    <s v="Transport"/>
    <s v="Investigations"/>
    <n v="6000"/>
    <n v="10.063855160996523"/>
    <n v="579.25099999999998"/>
    <s v="P29"/>
    <s v="P29-F-R1"/>
    <s v="PALF"/>
    <x v="1"/>
    <s v="Congo"/>
    <m/>
    <m/>
    <m/>
  </r>
  <r>
    <x v="28"/>
    <s v="Achat eau mineral 16 LITRES/Bureau"/>
    <s v="Office Materials"/>
    <s v="Office"/>
    <n v="25000"/>
    <n v="41.93272983748551"/>
    <n v="579.25099999999998"/>
    <s v="Merveille"/>
    <s v="CA-F-R9"/>
    <s v="PALF"/>
    <x v="1"/>
    <s v="Congo"/>
    <m/>
    <m/>
    <m/>
  </r>
  <r>
    <x v="28"/>
    <s v="Achat produit d'entretien lait,sucre,javel,papier toilette,sucre,café/Bureau PALF"/>
    <s v="Office Materials"/>
    <s v="Office"/>
    <n v="63000"/>
    <n v="105.6704791904635"/>
    <n v="579.25099999999998"/>
    <s v="Merveille"/>
    <s v="CA-F-R10"/>
    <s v="PALF"/>
    <x v="1"/>
    <s v="Congo"/>
    <m/>
    <m/>
    <m/>
  </r>
  <r>
    <x v="28"/>
    <s v="P29 - CONGO Ration  du 05 au 28/02/2025 à Oyo,Tchikapika et Owando(23 Nuitées)"/>
    <s v="Travel Subsistence"/>
    <s v="Investigations"/>
    <n v="230000"/>
    <n v="385.78111450486671"/>
    <n v="579.25099999999998"/>
    <s v="P29"/>
    <s v="P29-F-D1"/>
    <s v="PALF"/>
    <x v="1"/>
    <s v="Congo"/>
    <m/>
    <m/>
    <m/>
  </r>
  <r>
    <x v="28"/>
    <s v="IT87 - CONGO Ration du 05 au 12/02/2025 à Makoua,etoumbi,Otende"/>
    <s v="Travel Subsistence"/>
    <s v="Investigations"/>
    <n v="70000"/>
    <n v="117.41164354495943"/>
    <n v="579.25099999999998"/>
    <s v="IT87"/>
    <s v="IT87-F-D1"/>
    <s v="PALF"/>
    <x v="1"/>
    <s v="Congo"/>
    <m/>
    <m/>
    <m/>
  </r>
  <r>
    <x v="28"/>
    <s v="Achat billet Makoua - Etoumbi/ IT87"/>
    <s v="Transport"/>
    <s v="Investigations"/>
    <n v="5000"/>
    <n v="8.3865459674971028"/>
    <n v="579.25099999999998"/>
    <s v="IT87"/>
    <s v="IT87-F-R1"/>
    <s v="PALF"/>
    <x v="1"/>
    <s v="Congo"/>
    <m/>
    <m/>
    <m/>
  </r>
  <r>
    <x v="28"/>
    <s v="ROMAIN-CONGO: Ration du 05 au 07/02/2025 à Owando"/>
    <s v="Travel Subsistence"/>
    <s v="Legal"/>
    <n v="20000"/>
    <n v="33.546183869988411"/>
    <n v="579.25099999999998"/>
    <s v="Romain"/>
    <s v="RM-F-D1"/>
    <s v="PALF"/>
    <x v="1"/>
    <s v="Congo"/>
    <m/>
    <m/>
    <m/>
  </r>
  <r>
    <x v="28"/>
    <s v="RODERLIN-CONGO Ration du 05 au 07/02/2025 à Owando (02 nuitées)"/>
    <s v="Travel Subsistence"/>
    <s v="Legal"/>
    <n v="20000"/>
    <n v="33.546183869988411"/>
    <n v="579.25099999999998"/>
    <s v="Roderlin"/>
    <s v="RO-F-D1"/>
    <s v="PALF"/>
    <x v="1"/>
    <s v="Congo"/>
    <m/>
    <m/>
    <m/>
  </r>
  <r>
    <x v="28"/>
    <s v="Reglement loyer du mois de Janvier 2025/3654789"/>
    <s v="Rent &amp; Utilities"/>
    <s v="Office"/>
    <n v="500000"/>
    <n v="838.65459674971032"/>
    <n v="579.25099999999998"/>
    <s v="BCI"/>
    <s v="BQ-F-R2"/>
    <s v="PALF"/>
    <x v="1"/>
    <s v="Congo"/>
    <m/>
    <m/>
    <m/>
  </r>
  <r>
    <x v="29"/>
    <s v="Achat billet : Brazzaville - Makoua/T73"/>
    <s v="Transport"/>
    <s v="Investigations"/>
    <n v="9000"/>
    <n v="15.095782741494785"/>
    <n v="579.25099999999998"/>
    <s v="T73"/>
    <s v="T73-F-R1"/>
    <s v="PALF"/>
    <x v="1"/>
    <s v="Congo"/>
    <m/>
    <m/>
    <m/>
  </r>
  <r>
    <x v="29"/>
    <s v="T73 - CONGO Ration du 06 au 28/12/2024 (22nuitées)à Makoua et Owando"/>
    <s v="Travel Subsistence"/>
    <s v="Investigations"/>
    <n v="190000"/>
    <n v="318.68874676488991"/>
    <n v="579.25099999999998"/>
    <s v="T73"/>
    <s v="T73-F-D1"/>
    <s v="PALF"/>
    <x v="1"/>
    <s v="Congo"/>
    <m/>
    <m/>
    <m/>
  </r>
  <r>
    <x v="29"/>
    <s v="Bonus media portant sur l'audience du 06 Février au TG1 d'Owando"/>
    <s v="Bonus to media officer"/>
    <s v="Media"/>
    <n v="148000"/>
    <n v="248.24176063791424"/>
    <n v="579.25099999999998"/>
    <s v="Evariste"/>
    <s v="CA-F-D1"/>
    <s v="PALF"/>
    <x v="1"/>
    <s v="Congo"/>
    <m/>
    <m/>
    <m/>
  </r>
  <r>
    <x v="30"/>
    <s v="Achat billet oyo-tchikapika/P29"/>
    <s v="Transport"/>
    <s v="Investigations"/>
    <n v="5000"/>
    <n v="8.3865459674971028"/>
    <n v="579.25099999999998"/>
    <s v="P29"/>
    <s v="P29-F-R2"/>
    <s v="PALF"/>
    <x v="1"/>
    <s v="Congo"/>
    <m/>
    <m/>
    <m/>
  </r>
  <r>
    <x v="30"/>
    <s v="P29 - CONGO Frais d'hotel du 05 au 07/02/2025 à oyo(02 Nuitées)"/>
    <s v="Travel Subsistence"/>
    <s v="Investigations"/>
    <n v="30000"/>
    <n v="50.319275804982617"/>
    <n v="579.25099999999998"/>
    <s v="P29"/>
    <s v="P29-F-R3"/>
    <s v="PALF"/>
    <x v="1"/>
    <s v="Congo"/>
    <m/>
    <m/>
    <m/>
  </r>
  <r>
    <x v="30"/>
    <s v="IT87 - CONGO Frais d'hôtel Akoua du 05 au 07/02/2025 à Etoumbi (02 nuitées)"/>
    <s v="Travel Subsistence"/>
    <s v="Investigations"/>
    <n v="30000"/>
    <n v="50.319275804982617"/>
    <n v="579.25099999999998"/>
    <s v="IT87"/>
    <s v="IT87-F-R1"/>
    <s v="PALF"/>
    <x v="1"/>
    <s v="Congo"/>
    <m/>
    <m/>
    <m/>
  </r>
  <r>
    <x v="30"/>
    <s v="Achat billet Etoumbi - Makoua/ IT87"/>
    <s v="Transport"/>
    <s v="Investigations"/>
    <n v="5000"/>
    <n v="8.3865459674971028"/>
    <n v="579.25099999999998"/>
    <s v="IT87"/>
    <s v="IT87-F-R2"/>
    <s v="PALF"/>
    <x v="1"/>
    <s v="Congo"/>
    <m/>
    <m/>
    <m/>
  </r>
  <r>
    <x v="30"/>
    <s v="Achat billet Makoua - Otende/ IT87"/>
    <s v="Transport"/>
    <s v="Investigations"/>
    <n v="4500"/>
    <n v="7.5478913707473927"/>
    <n v="579.25099999999998"/>
    <s v="IT87"/>
    <s v="IT87-F-R3"/>
    <s v="PALF"/>
    <x v="1"/>
    <s v="Congo"/>
    <m/>
    <m/>
    <m/>
  </r>
  <r>
    <x v="30"/>
    <s v="Achat billet retour Owando-Brazzaville/Romain"/>
    <s v="Transport"/>
    <s v="Legal"/>
    <n v="7000"/>
    <n v="11.741164354495943"/>
    <n v="579.25099999999998"/>
    <s v="Romain"/>
    <s v="RM-F-R2"/>
    <s v="PALF"/>
    <x v="1"/>
    <s v="Congo"/>
    <m/>
    <m/>
    <m/>
  </r>
  <r>
    <x v="30"/>
    <s v="ROMAIN - CONGO Frais d'hotel du 05 au 07/02/2025 à Owando(2 nuitées)"/>
    <s v="Travel Subsistence"/>
    <s v="Legal"/>
    <n v="30000"/>
    <n v="50.319275804982617"/>
    <n v="579.25099999999998"/>
    <s v="Romain"/>
    <s v="RM-F-R3"/>
    <s v="PALF"/>
    <x v="1"/>
    <s v="Congo"/>
    <m/>
    <m/>
    <m/>
  </r>
  <r>
    <x v="30"/>
    <s v="Achat billet Owando- Brazzaville /Roderlin"/>
    <s v="Transport"/>
    <s v="Legal"/>
    <n v="7000"/>
    <n v="11.741164354495943"/>
    <n v="579.25099999999998"/>
    <s v="Roderlin"/>
    <s v="RO-F-R2"/>
    <s v="PALF"/>
    <x v="1"/>
    <s v="Congo"/>
    <m/>
    <m/>
    <m/>
  </r>
  <r>
    <x v="30"/>
    <s v="RODERLIN-CONGO frais d'hôtel du 05 au 07/02/2025 à Owando (02 nuitées)"/>
    <s v="Travel Subsistence"/>
    <s v="Legal"/>
    <n v="30000"/>
    <n v="50.319275804982617"/>
    <n v="579.25099999999998"/>
    <s v="Roderlin"/>
    <s v="RO-F-R3"/>
    <s v="PALF"/>
    <x v="1"/>
    <s v="Congo"/>
    <m/>
    <m/>
    <m/>
  </r>
  <r>
    <x v="30"/>
    <s v="Frais de transfert d'argent à T73"/>
    <s v="Transfer Fees"/>
    <s v="Office"/>
    <n v="4830.0000000000009"/>
    <n v="8.1014034046022019"/>
    <n v="579.25099999999998"/>
    <s v="Abraham"/>
    <s v="CA-F-R11"/>
    <s v="PALF"/>
    <x v="1"/>
    <s v="Congo"/>
    <m/>
    <m/>
    <m/>
  </r>
  <r>
    <x v="30"/>
    <s v="Frais de transfert d'argent à P29 et IT87"/>
    <s v="Transfer Fees"/>
    <s v="Office"/>
    <n v="13615"/>
    <n v="22.180704562790044"/>
    <n v="579.25099999999998"/>
    <s v="Roderlin"/>
    <s v="CA-F-R32"/>
    <s v="PALF"/>
    <x v="1"/>
    <s v="Congo"/>
    <m/>
    <m/>
    <m/>
  </r>
  <r>
    <x v="31"/>
    <s v="Achat billet :Brazzaville -loudima /G12"/>
    <s v="Transport"/>
    <s v="Investigations"/>
    <n v="8000"/>
    <n v="13.418473547995363"/>
    <n v="579.25099999999998"/>
    <s v="G12"/>
    <s v="G12-F-R1"/>
    <s v="PALF"/>
    <x v="1"/>
    <s v="Congo"/>
    <m/>
    <m/>
    <m/>
  </r>
  <r>
    <x v="31"/>
    <s v="G12 - CONGO  Ration du 08 au 15 /02/2025(07 Nuitées)"/>
    <s v="Travel Subsistence"/>
    <s v="Investigations"/>
    <n v="70000"/>
    <n v="117.41164354495943"/>
    <n v="579.25099999999998"/>
    <s v="G12"/>
    <s v="G12-F-D1"/>
    <s v="PALF"/>
    <x v="1"/>
    <s v="Congo"/>
    <m/>
    <m/>
    <m/>
  </r>
  <r>
    <x v="31"/>
    <s v="Achat billet: Loudima - sibiti/G12"/>
    <s v="Transport"/>
    <s v="Investigations"/>
    <n v="4000"/>
    <n v="6.7092367739976817"/>
    <n v="579.25099999999998"/>
    <s v="G12"/>
    <s v="G12-F-R2"/>
    <s v="PALF"/>
    <x v="1"/>
    <s v="Congo"/>
    <m/>
    <m/>
    <m/>
  </r>
  <r>
    <x v="32"/>
    <s v="P29 -CONGO Frais d'hotel du 07 au 09/02/2025 à tchikapika(02 Nuitées)"/>
    <s v="Travel Subsistence"/>
    <s v="Investigations"/>
    <n v="30000"/>
    <n v="50.319275804982617"/>
    <n v="579.25099999999998"/>
    <s v="P29"/>
    <s v="P29-F-R4"/>
    <s v="PALF"/>
    <x v="1"/>
    <s v="Congo"/>
    <m/>
    <m/>
    <m/>
  </r>
  <r>
    <x v="32"/>
    <s v="Achat billet tchikapika-ombele/P29"/>
    <s v="Transport"/>
    <s v="Investigations"/>
    <n v="5000"/>
    <n v="8.3865459674971028"/>
    <n v="579.25099999999998"/>
    <s v="P29"/>
    <s v="P29-F-R5"/>
    <s v="PALF"/>
    <x v="1"/>
    <s v="Congo"/>
    <m/>
    <m/>
    <m/>
  </r>
  <r>
    <x v="32"/>
    <s v="Cumul frais de trust building du mois de Février 2025/P29"/>
    <s v="Trust Building"/>
    <s v="Investigations"/>
    <n v="39500"/>
    <n v="66.253713143227117"/>
    <n v="579.25099999999998"/>
    <s v="P29"/>
    <s v="P29-F-D2"/>
    <s v="PALF"/>
    <x v="1"/>
    <s v="Congo"/>
    <m/>
    <m/>
    <m/>
  </r>
  <r>
    <x v="32"/>
    <s v="IT87 - CONGOFrais d'hôtel le Pépin du 07 au 09/02/2025 à Otende (02 nuitées)"/>
    <s v="Travel Subsistence"/>
    <s v="Investigations"/>
    <n v="30000"/>
    <n v="50.319275804982617"/>
    <n v="579.25099999999998"/>
    <s v="IT87"/>
    <s v="IT87-F-R4"/>
    <s v="PALF"/>
    <x v="1"/>
    <s v="Congo"/>
    <m/>
    <m/>
    <m/>
  </r>
  <r>
    <x v="32"/>
    <s v="Achat billet Otende - Oyo/ IT87"/>
    <s v="Transport"/>
    <s v="Investigations"/>
    <n v="3000"/>
    <n v="5.0319275804982615"/>
    <n v="579.25099999999998"/>
    <s v="IT87"/>
    <s v="IT87-F-R5"/>
    <s v="PALF"/>
    <x v="1"/>
    <s v="Congo"/>
    <m/>
    <m/>
    <m/>
  </r>
  <r>
    <x v="33"/>
    <s v="P29 - CONGO Frais d'hotel du 09 au 10/02/2025 à ombele (01 Nuitée)"/>
    <s v="Travel Subsistence"/>
    <s v="Investigations"/>
    <n v="15000"/>
    <n v="25.159637902491308"/>
    <n v="579.25099999999998"/>
    <s v="P29"/>
    <s v="P29-F-R6"/>
    <s v="PALF"/>
    <x v="1"/>
    <s v="Congo"/>
    <m/>
    <m/>
    <m/>
  </r>
  <r>
    <x v="33"/>
    <s v="Achat billet ombele-owando/P29"/>
    <s v="Transport"/>
    <s v="Investigations"/>
    <n v="5000"/>
    <n v="8.3865459674971028"/>
    <n v="579.25099999999998"/>
    <s v="P29"/>
    <s v="P29-F-R7"/>
    <s v="PALF"/>
    <x v="1"/>
    <s v="Congo"/>
    <m/>
    <m/>
    <m/>
  </r>
  <r>
    <x v="33"/>
    <s v="T73 - CONGO Frais d'hotel du 06 au 10/02/2025 (04nuitées ) à Makoua"/>
    <s v="Travel Subsistence"/>
    <s v="Investigations"/>
    <n v="60000"/>
    <n v="100.63855160996523"/>
    <n v="579.25099999999998"/>
    <s v="T73"/>
    <s v="T73-F-R2"/>
    <s v="PALF"/>
    <x v="1"/>
    <s v="Congo"/>
    <m/>
    <m/>
    <m/>
  </r>
  <r>
    <x v="33"/>
    <s v="Achat billet : makoua - Owando/T73"/>
    <s v="Transport"/>
    <s v="Investigations"/>
    <n v="3000"/>
    <n v="5.0319275804982615"/>
    <n v="579.25099999999998"/>
    <s v="T73"/>
    <s v="T73-F-R4"/>
    <s v="PALF"/>
    <x v="1"/>
    <s v="Congo"/>
    <m/>
    <m/>
    <m/>
  </r>
  <r>
    <x v="33"/>
    <s v="Frais de transfert d'argent à G12"/>
    <s v="Transfer Fees"/>
    <s v="Office"/>
    <n v="4110"/>
    <n v="6.8937407852826187"/>
    <n v="579.25099999999998"/>
    <s v="Roderlin"/>
    <s v="CA-F-R12"/>
    <s v="PALF"/>
    <x v="1"/>
    <s v="Congo"/>
    <m/>
    <m/>
    <m/>
  </r>
  <r>
    <x v="34"/>
    <s v="Bonus du mois de Janvier 2025/Merveille"/>
    <s v="Personnel"/>
    <s v="Office"/>
    <n v="94430"/>
    <n v="158.38830714215027"/>
    <n v="579.25099999999998"/>
    <s v="Merveille"/>
    <s v="CA-F-D2"/>
    <s v="PALF"/>
    <x v="1"/>
    <s v="Congo"/>
    <m/>
    <m/>
    <m/>
  </r>
  <r>
    <x v="34"/>
    <s v="Bonus du mois de Janvier 2025/Crepin"/>
    <s v="Personnel"/>
    <s v="Legal"/>
    <n v="30000"/>
    <n v="50.319275804982617"/>
    <n v="579.25099999999998"/>
    <s v="Merveille"/>
    <s v="CA-F-D3"/>
    <s v="PALF"/>
    <x v="1"/>
    <s v="Congo"/>
    <m/>
    <m/>
    <m/>
  </r>
  <r>
    <x v="34"/>
    <s v="Bonus du mois de Janvier 2025/Romain"/>
    <s v="Personnel"/>
    <s v="Legal"/>
    <n v="30000"/>
    <n v="50.319275804982617"/>
    <n v="579.25099999999998"/>
    <s v="Merveille"/>
    <s v="CA-F-D4"/>
    <s v="PALF"/>
    <x v="1"/>
    <s v="Congo"/>
    <m/>
    <m/>
    <m/>
  </r>
  <r>
    <x v="34"/>
    <s v="Bonus du mois de Janvier 2025/Abraham"/>
    <s v="Personnel"/>
    <s v="Legal"/>
    <n v="30000"/>
    <n v="50.319275804982617"/>
    <n v="579.25099999999998"/>
    <s v="Merveille"/>
    <s v="CA-F-D5"/>
    <s v="PALF"/>
    <x v="1"/>
    <s v="Congo"/>
    <m/>
    <m/>
    <m/>
  </r>
  <r>
    <x v="34"/>
    <s v="Bonus du mois de Janvier 2025/Roderlin"/>
    <s v="Personnel"/>
    <s v="Legal"/>
    <n v="30000"/>
    <n v="50.319275804982617"/>
    <n v="579.25099999999998"/>
    <s v="Merveille"/>
    <s v="CA-F-D6"/>
    <s v="PALF"/>
    <x v="1"/>
    <s v="Congo"/>
    <m/>
    <m/>
    <m/>
  </r>
  <r>
    <x v="34"/>
    <s v="Bonus du mois de Janvier 2025/Evariste"/>
    <s v="Personnel"/>
    <s v="Media"/>
    <n v="30000"/>
    <n v="50.319275804982617"/>
    <n v="579.25099999999998"/>
    <s v="Merveille"/>
    <s v="CA-F-D7"/>
    <s v="PALF"/>
    <x v="1"/>
    <s v="Congo"/>
    <m/>
    <m/>
    <m/>
  </r>
  <r>
    <x v="34"/>
    <s v="Bonus opération du 15/01/2025 à Owando/Crepin"/>
    <s v="Bonus"/>
    <s v="Operations"/>
    <n v="35000"/>
    <n v="58.705821772479716"/>
    <n v="579.25099999999998"/>
    <s v="Merveille"/>
    <s v="CA-F-D8"/>
    <s v="PALF"/>
    <x v="1"/>
    <s v="Congo"/>
    <m/>
    <m/>
    <m/>
  </r>
  <r>
    <x v="34"/>
    <s v="Bonus opération du 15/01/2025 à Owando/Romain"/>
    <s v="Bonus"/>
    <s v="Operations"/>
    <n v="30000"/>
    <n v="50.319275804982617"/>
    <n v="579.25099999999998"/>
    <s v="Merveille"/>
    <s v="CA-F-D9"/>
    <s v="PALF"/>
    <x v="1"/>
    <s v="Congo"/>
    <m/>
    <m/>
    <m/>
  </r>
  <r>
    <x v="34"/>
    <s v="Bonus opération du 15/01/2025 à Owando/Abraham"/>
    <s v="Bonus"/>
    <s v="Operations"/>
    <n v="30000"/>
    <n v="50.319275804982617"/>
    <n v="579.25099999999998"/>
    <s v="Merveille"/>
    <s v="CA-F-D10"/>
    <s v="PALF"/>
    <x v="1"/>
    <s v="Congo"/>
    <m/>
    <m/>
    <m/>
  </r>
  <r>
    <x v="34"/>
    <s v="Bonus opération du 15/01/2025 à Owando/Evariste"/>
    <s v="Bonus"/>
    <s v="Operations"/>
    <n v="30000"/>
    <n v="50.319275804982617"/>
    <n v="579.25099999999998"/>
    <s v="Merveille"/>
    <s v="CA-F-D11"/>
    <s v="PALF"/>
    <x v="1"/>
    <s v="Congo"/>
    <m/>
    <m/>
    <m/>
  </r>
  <r>
    <x v="34"/>
    <s v="G12 Congo frais d'hotel du 08 au 11/02/2025   à sibiti (3 nuitées)"/>
    <s v="Travel Subsistence"/>
    <s v="Investigations"/>
    <n v="45000"/>
    <n v="75.478913707473922"/>
    <n v="579.25099999999998"/>
    <s v="G12"/>
    <s v="G12-F-R3"/>
    <s v="PALF"/>
    <x v="1"/>
    <s v="Congo"/>
    <m/>
    <m/>
    <m/>
  </r>
  <r>
    <x v="34"/>
    <s v="Achat billet sibiti - loudima /G12"/>
    <s v="Transport"/>
    <s v="Investigations"/>
    <n v="4000"/>
    <n v="6.7092367739976817"/>
    <n v="579.25099999999998"/>
    <s v="G12"/>
    <s v="G12-F-R4"/>
    <s v="PALF"/>
    <x v="1"/>
    <s v="Congo"/>
    <m/>
    <m/>
    <m/>
  </r>
  <r>
    <x v="34"/>
    <s v="Achat billet loudima -nkayi / G12"/>
    <s v="Transport"/>
    <s v="Investigations"/>
    <n v="3000"/>
    <n v="4.8874119492008914"/>
    <n v="613.82180000000005"/>
    <s v="G12"/>
    <s v="G12-F-R5"/>
    <s v="PALF"/>
    <x v="2"/>
    <s v="Congo"/>
    <m/>
    <m/>
    <m/>
  </r>
  <r>
    <x v="34"/>
    <s v="Achat billet Brazzaville-Owando(Trans bony)/Abraham"/>
    <s v="Transport"/>
    <s v="Legal"/>
    <n v="7000"/>
    <n v="11.403961214802081"/>
    <n v="613.82180000000005"/>
    <s v="Abraham"/>
    <s v="AB-F-R1"/>
    <s v="PALF"/>
    <x v="2"/>
    <s v="Congo"/>
    <m/>
    <m/>
    <m/>
  </r>
  <r>
    <x v="34"/>
    <s v="Frais de mission maitre Marie Helène NANITELAMION du 12 au 14 Février 2025 à Owando suivi audience"/>
    <s v="Lawyer Fees"/>
    <s v="Legal"/>
    <n v="70000"/>
    <n v="117.41164354495943"/>
    <n v="579.25099999999998"/>
    <s v="Abraham"/>
    <s v="CA-F-R13"/>
    <s v="PALF"/>
    <x v="1"/>
    <s v="Congo"/>
    <m/>
    <m/>
    <m/>
  </r>
  <r>
    <x v="34"/>
    <s v="Solde honoraire contrat n°81 Owando cas Monick/ Maître BANZOUZI Alain/3654800"/>
    <s v="Lawyer Fees"/>
    <s v="Legal"/>
    <n v="200000"/>
    <n v="335.46183869988408"/>
    <n v="579.25099999999998"/>
    <s v="BCI"/>
    <s v="BQ-F-R3"/>
    <s v="PALF"/>
    <x v="1"/>
    <s v="Congo"/>
    <m/>
    <m/>
    <m/>
  </r>
  <r>
    <x v="34"/>
    <s v="Frais de transfert d'argent à P29"/>
    <s v="Transfer Fees"/>
    <s v="Office"/>
    <n v="6720"/>
    <n v="11.271517780316106"/>
    <n v="596.19299999999998"/>
    <s v="Roderlin"/>
    <s v="CA-F-R14"/>
    <s v="PALF"/>
    <x v="0"/>
    <s v="Congo"/>
    <m/>
    <m/>
    <m/>
  </r>
  <r>
    <x v="35"/>
    <s v="IT87 - CONGO Frais d'hôtel Saint Benoît du 09 au 12/02/2025 à Oyo (03 nuitées)"/>
    <s v="Travel Subsistence"/>
    <s v="Investigations"/>
    <n v="45000"/>
    <n v="75.478913707473922"/>
    <n v="596.19299999999998"/>
    <s v="IT87"/>
    <s v="IT87-F-R6"/>
    <s v="PALF"/>
    <x v="0"/>
    <s v="Congo"/>
    <m/>
    <m/>
    <m/>
  </r>
  <r>
    <x v="35"/>
    <s v="Achat billet Oyo - Brazzaville/ IT87"/>
    <s v="Transport"/>
    <s v="Investigations"/>
    <n v="7000"/>
    <n v="11.741164354495943"/>
    <n v="596.19299999999998"/>
    <s v="IT87"/>
    <s v="IT87-F-R6"/>
    <s v="PALF"/>
    <x v="0"/>
    <s v="Congo"/>
    <m/>
    <m/>
    <m/>
  </r>
  <r>
    <x v="35"/>
    <s v="ABRAHAM - CONGO food allowance du 12/02 au 01/03/2025 à Owando (02 Nuitées)"/>
    <s v="Travel Subsistence"/>
    <s v="Legal"/>
    <n v="170000"/>
    <n v="285.14256289490152"/>
    <n v="596.19299999999998"/>
    <s v="Abraham"/>
    <s v="AB-F-D1"/>
    <s v="PALF"/>
    <x v="0"/>
    <s v="Congo"/>
    <m/>
    <m/>
    <m/>
  </r>
  <r>
    <x v="35"/>
    <s v="Achat billet Brazzaville- Loudima/Roderlin"/>
    <s v="Transport"/>
    <s v="Legal"/>
    <n v="8000"/>
    <n v="13.418473547995363"/>
    <n v="596.19299999999998"/>
    <s v="Roderlin"/>
    <s v="RO-F-R4"/>
    <s v="PALF"/>
    <x v="0"/>
    <s v="Congo"/>
    <m/>
    <m/>
    <m/>
  </r>
  <r>
    <x v="35"/>
    <s v="Frais de transfert d'argent à T73"/>
    <s v="Transfer Fees"/>
    <s v="Office"/>
    <n v="1980"/>
    <n v="3.3210722031288529"/>
    <n v="596.19299999999998"/>
    <s v="Roderlin"/>
    <s v="CA-F-R15"/>
    <s v="PALF"/>
    <x v="0"/>
    <s v="Congo"/>
    <m/>
    <m/>
    <m/>
  </r>
  <r>
    <x v="35"/>
    <s v="Frais de mission maitre Alain BANZOUZI du 13 au 15 Février 2025 à Sibiti/suivi audience"/>
    <s v="Lawyer Fees"/>
    <s v="Legal"/>
    <n v="80000"/>
    <n v="134.18473547995364"/>
    <n v="596.19299999999998"/>
    <s v="Roderlin"/>
    <s v="CA-F-R16"/>
    <s v="PALF"/>
    <x v="0"/>
    <s v="Congo"/>
    <m/>
    <m/>
    <m/>
  </r>
  <r>
    <x v="36"/>
    <s v="Paiment assurance DOVI/Assistance Evacuation"/>
    <s v="Personnel"/>
    <s v="Management"/>
    <n v="129464"/>
    <n v="217.15115742720897"/>
    <n v="596.19299999999998"/>
    <s v="Merveille"/>
    <s v="CA-F-R17"/>
    <s v="PALF"/>
    <x v="0"/>
    <s v="Congo"/>
    <m/>
    <m/>
    <m/>
  </r>
  <r>
    <x v="36"/>
    <s v="Paiment assurance DOVI/Individuelle Accidents Corporels"/>
    <s v="Personnel"/>
    <s v="Management"/>
    <n v="80500"/>
    <n v="135.02339007670335"/>
    <n v="596.19299999999998"/>
    <s v="Merveille"/>
    <s v="CA-F-R18"/>
    <s v="PALF"/>
    <x v="0"/>
    <s v="Congo"/>
    <m/>
    <m/>
    <m/>
  </r>
  <r>
    <x v="36"/>
    <s v="G12-CONGO  frais d'hotel du 11 au 13 /02 / 2025 à nkayi (2nuitées)"/>
    <s v="Travel Subsistence"/>
    <s v="Investigations"/>
    <n v="30000"/>
    <n v="50.319275804982617"/>
    <n v="596.19299999999998"/>
    <s v="G12"/>
    <s v="G12-F-R6"/>
    <s v="PALF"/>
    <x v="0"/>
    <s v="Congo"/>
    <m/>
    <m/>
    <m/>
  </r>
  <r>
    <x v="36"/>
    <s v="Achat billet nkayi - madingou/G12"/>
    <s v="Transport"/>
    <s v="Investigations"/>
    <n v="3000"/>
    <n v="5.0319275804982615"/>
    <n v="596.19299999999998"/>
    <s v="G12"/>
    <s v="G12-F-R7"/>
    <s v="PALF"/>
    <x v="0"/>
    <s v="Congo"/>
    <m/>
    <m/>
    <m/>
  </r>
  <r>
    <x v="36"/>
    <s v="RODERLIN-CONGO Ration du 13 au 15/02/2025 à Sibiti (02 nuitées)"/>
    <s v="Travel Subsistence"/>
    <s v="Legal"/>
    <n v="20000"/>
    <n v="32.582746328005946"/>
    <n v="613.82180000000005"/>
    <s v="Roderlin"/>
    <s v="RO-F-D2"/>
    <s v="PALF"/>
    <x v="2"/>
    <s v="Congo"/>
    <m/>
    <m/>
    <m/>
  </r>
  <r>
    <x v="36"/>
    <s v="Bonus media portant sur la journée mondiale du Pangolin"/>
    <s v="Bonus to media officer"/>
    <s v="Media"/>
    <n v="154000"/>
    <n v="250.88714672564575"/>
    <n v="613.82180000000005"/>
    <s v="Evariste"/>
    <s v="CA-F-D12"/>
    <s v="PALF"/>
    <x v="2"/>
    <s v="Congo"/>
    <m/>
    <m/>
    <m/>
  </r>
  <r>
    <x v="36"/>
    <s v="Reglement frais d'assurance multi risque/Bureau PALF"/>
    <s v="Services"/>
    <s v="Office"/>
    <n v="227686"/>
    <n v="381.89982103110907"/>
    <n v="596.19299999999998"/>
    <s v="BCI"/>
    <s v="BQ-F-R4"/>
    <s v="PALF"/>
    <x v="0"/>
    <s v="Congo"/>
    <m/>
    <m/>
    <m/>
  </r>
  <r>
    <x v="36"/>
    <s v="Achat billet Loudima - Sibiti/Roderlin"/>
    <s v="Transport"/>
    <s v="Legal"/>
    <n v="4000"/>
    <n v="6.7092367739976817"/>
    <n v="579.25099999999998"/>
    <s v="Roderlin"/>
    <s v="RO-F-R6"/>
    <s v="PALF"/>
    <x v="1"/>
    <s v="Congo"/>
    <m/>
    <m/>
    <m/>
  </r>
  <r>
    <x v="37"/>
    <s v="Fonds envoyé à un informateur en RDC pour des informations"/>
    <s v="Trust Building"/>
    <s v="Investigations"/>
    <n v="30000"/>
    <n v="50.319275804982617"/>
    <n v="596.19299999999998"/>
    <s v="DOVI"/>
    <s v="DH-F-R1"/>
    <s v="PALF"/>
    <x v="0"/>
    <s v="Congo"/>
    <m/>
    <m/>
    <m/>
  </r>
  <r>
    <x v="37"/>
    <s v="Frais de transfert d'argent par western union à l'informateur"/>
    <s v="Transfer Fees"/>
    <s v="Office"/>
    <n v="1952"/>
    <n v="3.2741075457108688"/>
    <n v="596.19299999999998"/>
    <s v="DOVI"/>
    <s v="DH-F-R2"/>
    <s v="PALF"/>
    <x v="0"/>
    <s v="Congo"/>
    <m/>
    <m/>
    <m/>
  </r>
  <r>
    <x v="37"/>
    <s v="Achat billet Brazzaville-Owando/DOVI"/>
    <s v="Transport"/>
    <s v="Management"/>
    <n v="7000"/>
    <n v="11.403961214802081"/>
    <n v="613.82180000000005"/>
    <s v="DOVI"/>
    <s v="DH-F-R3"/>
    <s v="PALF"/>
    <x v="2"/>
    <s v="Congo"/>
    <m/>
    <m/>
    <m/>
  </r>
  <r>
    <x v="37"/>
    <s v="Billet: Brazzaville-Owando/Crepin"/>
    <s v="Transport"/>
    <s v="Legal"/>
    <n v="7000"/>
    <n v="11.403961214802081"/>
    <n v="613.82180000000005"/>
    <s v="Crépin"/>
    <s v="CR-F-R1"/>
    <s v="PALF"/>
    <x v="2"/>
    <s v="Congo"/>
    <m/>
    <m/>
    <m/>
  </r>
  <r>
    <x v="37"/>
    <s v="Achat credit  teléphonique MTN/PALF/Deuxième partie du mois de Février 2025/Management"/>
    <s v="Telephone"/>
    <s v="Management"/>
    <n v="30000"/>
    <n v="48.874119492008916"/>
    <n v="613.82180000000005"/>
    <s v="Merveille"/>
    <s v="CA-F-R20"/>
    <s v="PALF"/>
    <x v="2"/>
    <s v="Congo"/>
    <m/>
    <m/>
    <m/>
  </r>
  <r>
    <x v="37"/>
    <s v="Achat credit  teléphonique MTN/PALF/Deuxième partie du mois de Février 2025/Legal"/>
    <s v="Telephone"/>
    <s v="Legal"/>
    <n v="30000"/>
    <n v="48.874119492008916"/>
    <n v="613.82180000000005"/>
    <s v="Merveille"/>
    <s v="CA-F-R21"/>
    <s v="PALF"/>
    <x v="2"/>
    <s v="Congo"/>
    <m/>
    <m/>
    <m/>
  </r>
  <r>
    <x v="37"/>
    <s v="Achat credit  teléphonique MTN/PALF/Deuxième partie du mois de Février 2025/Investigation"/>
    <s v="Telephone"/>
    <s v="Investigations"/>
    <n v="55000"/>
    <n v="94.950186542589222"/>
    <n v="579.25099999999998"/>
    <s v="Merveille"/>
    <s v="CA-F-R22"/>
    <s v="PALF"/>
    <x v="1"/>
    <s v="Congo"/>
    <m/>
    <m/>
    <m/>
  </r>
  <r>
    <x v="37"/>
    <s v="Achat credit  teléphonique MTN/PALF/Deuxième partie du mois de Février 2025/Media"/>
    <s v="Telephone"/>
    <s v="Media"/>
    <n v="10000"/>
    <n v="16.291373164002973"/>
    <n v="613.82180000000005"/>
    <s v="Merveille"/>
    <s v="CA-F-R23"/>
    <s v="PALF"/>
    <x v="2"/>
    <s v="Congo"/>
    <m/>
    <m/>
    <m/>
  </r>
  <r>
    <x v="37"/>
    <s v="Achat credit  teléphonique Airtel/PALF/Deuxième partie du mois de Février 2025/Legal"/>
    <s v="Telephone"/>
    <s v="Legal"/>
    <n v="10000"/>
    <n v="16.291373164002973"/>
    <n v="613.82180000000005"/>
    <s v="Merveille"/>
    <s v="CA-F-R24"/>
    <s v="PALF"/>
    <x v="2"/>
    <s v="Congo"/>
    <m/>
    <m/>
    <m/>
  </r>
  <r>
    <x v="37"/>
    <s v="Achat credit  teléphonique Airtel/PALF/Deuxième partie du mois de Février 2025/Investigation"/>
    <s v="Telephone"/>
    <s v="Investigations"/>
    <n v="5000"/>
    <n v="8.1456865820014865"/>
    <n v="613.82180000000005"/>
    <s v="Merveille"/>
    <s v="CA-F-R25"/>
    <s v="PALF"/>
    <x v="2"/>
    <s v="Congo"/>
    <m/>
    <m/>
    <m/>
  </r>
  <r>
    <x v="37"/>
    <s v="Frais de transfert d'argent à T73,P29 et Abraham"/>
    <s v="Transfer Fees"/>
    <s v="Office"/>
    <n v="11310"/>
    <n v="18.425543048487359"/>
    <n v="613.82180000000005"/>
    <s v="Parfaite"/>
    <s v="CA-F-R19"/>
    <s v="PALF"/>
    <x v="2"/>
    <s v="Congo"/>
    <m/>
    <m/>
    <m/>
  </r>
  <r>
    <x v="37"/>
    <s v="Cumul frais de trust building du mois de Février 2025/G12"/>
    <s v="Trust Building"/>
    <s v="Investigations"/>
    <n v="4000"/>
    <n v="6.5165492656011885"/>
    <n v="613.82180000000005"/>
    <s v="G12"/>
    <s v="G12-F-D2"/>
    <s v="PALF"/>
    <x v="2"/>
    <s v="Congo"/>
    <m/>
    <m/>
    <m/>
  </r>
  <r>
    <x v="37"/>
    <s v="Achat billet Madingou - brazzaville/G12"/>
    <s v="Transport"/>
    <s v="Investigations"/>
    <n v="7000"/>
    <n v="11.403961214802081"/>
    <n v="613.82180000000005"/>
    <s v="G12"/>
    <s v="G12-F-R8"/>
    <s v="PALF"/>
    <x v="2"/>
    <s v="Congo"/>
    <m/>
    <m/>
    <m/>
  </r>
  <r>
    <x v="37"/>
    <s v="Achat Billet Brazzaville-Owando/Romain"/>
    <s v="Transport"/>
    <s v="Legal"/>
    <n v="7000"/>
    <n v="11.403961214802081"/>
    <n v="613.82180000000005"/>
    <s v="Romain"/>
    <s v="RM-F-R4"/>
    <s v="PALF"/>
    <x v="2"/>
    <s v="Congo"/>
    <m/>
    <m/>
    <m/>
  </r>
  <r>
    <x v="37"/>
    <s v="Achat billet, Brazzaville-Owando/Evariste"/>
    <s v="Transport"/>
    <s v="Media"/>
    <n v="7000"/>
    <n v="11.403961214802081"/>
    <n v="613.82180000000005"/>
    <s v="Evariste"/>
    <s v="EV-F-R1"/>
    <s v="PALF"/>
    <x v="2"/>
    <s v="Congo"/>
    <m/>
    <m/>
    <m/>
  </r>
  <r>
    <x v="37"/>
    <s v="Cumul frais de jail visits du mois de Février 2025/Roderlin"/>
    <s v="Jail visit"/>
    <s v="Operations"/>
    <n v="20000"/>
    <n v="32.582746328005946"/>
    <n v="613.82180000000005"/>
    <s v="Roderlin"/>
    <s v="RO-F-D3"/>
    <s v="PALF"/>
    <x v="2"/>
    <s v="Congo"/>
    <m/>
    <m/>
    <m/>
  </r>
  <r>
    <x v="37"/>
    <s v="Achat billet Brazzaville - Madingou/ IT87"/>
    <s v="Transport"/>
    <s v="Investigations"/>
    <n v="7000"/>
    <n v="11.403961214802081"/>
    <n v="613.82180000000005"/>
    <s v="IT87"/>
    <s v="IT87-F-R7"/>
    <s v="PALF"/>
    <x v="2"/>
    <s v="Congo"/>
    <m/>
    <m/>
    <m/>
  </r>
  <r>
    <x v="38"/>
    <s v="DOVI -CONGO Ration du 15 Février 2025 au 25 Février 2025 soit 10 nuitées"/>
    <s v="Travel Subsistence"/>
    <s v="Management"/>
    <n v="100000"/>
    <n v="162.91373164002971"/>
    <n v="613.82180000000005"/>
    <s v="DOVI"/>
    <s v="DH-F-D1"/>
    <s v="PALF"/>
    <x v="2"/>
    <s v="Congo"/>
    <m/>
    <m/>
    <m/>
  </r>
  <r>
    <x v="38"/>
    <s v="CREPIN - CONGO Ration du 15/02/ au 05/03/2025 à Owando (18 nuitées)"/>
    <s v="Travel Subsistence"/>
    <s v="Legal"/>
    <n v="180000"/>
    <n v="293.24471695205347"/>
    <n v="613.82180000000005"/>
    <s v="Crépin"/>
    <s v="CR-F-D1"/>
    <s v="PALF"/>
    <x v="2"/>
    <s v="Congo"/>
    <m/>
    <m/>
    <m/>
  </r>
  <r>
    <x v="38"/>
    <s v="IT87 - CONGO Ration du 15 au 22/02/2025 à Madingou, Mouyondzi et Loutété"/>
    <s v="Travel Subsistence"/>
    <s v="Investigations"/>
    <n v="70000"/>
    <n v="114.03961214802079"/>
    <n v="613.82180000000005"/>
    <s v="IT87"/>
    <s v="IT87-F-D2"/>
    <s v="PALF"/>
    <x v="2"/>
    <s v="Congo"/>
    <m/>
    <m/>
    <m/>
  </r>
  <r>
    <x v="38"/>
    <s v="G12 CONGO frais d'hotel du 13 au 15 /02/2025(02 Nuitées)"/>
    <s v="Travel Subsistence"/>
    <s v="Investigations"/>
    <n v="30000"/>
    <n v="48.874119492008916"/>
    <n v="613.82180000000005"/>
    <s v="G12"/>
    <s v="G12-F-R9"/>
    <s v="PALF"/>
    <x v="2"/>
    <s v="Congo"/>
    <m/>
    <m/>
    <m/>
  </r>
  <r>
    <x v="38"/>
    <s v="ROMAIN - CONGO Ration du 15/02/ au 04/03/2025 à Owando(14 Nuitées)"/>
    <s v="Travel Subsistence"/>
    <s v="Legal"/>
    <n v="170000"/>
    <n v="276.95334378805052"/>
    <n v="613.82180000000005"/>
    <s v="Romain"/>
    <s v="RM-F-D2"/>
    <s v="PALF"/>
    <x v="2"/>
    <s v="Congo"/>
    <m/>
    <m/>
    <m/>
  </r>
  <r>
    <x v="38"/>
    <s v="ABRAHAM - CONGO frais d'Hôtel (Hôtel Case Mbali) du 12 au 15/02/2025 Owando (03Nuitées)"/>
    <s v="Travel Subsistence"/>
    <s v="Legal"/>
    <n v="45000"/>
    <n v="73.311179238013366"/>
    <n v="613.82180000000005"/>
    <s v="Abraham"/>
    <s v="AB-F-R2"/>
    <s v="PALF"/>
    <x v="2"/>
    <s v="Congo"/>
    <m/>
    <m/>
    <m/>
  </r>
  <r>
    <x v="38"/>
    <s v="RODERLIN-CONGO frais d'hôtel du 13 au 15/02/2025 à Sibiti (02 nuitées)"/>
    <s v="Travel Subsistence"/>
    <s v="Legal"/>
    <n v="30000"/>
    <n v="48.874119492008916"/>
    <n v="613.82180000000005"/>
    <s v="Roderlin"/>
    <s v="RO-F-R5"/>
    <s v="PALF"/>
    <x v="2"/>
    <s v="Congo"/>
    <m/>
    <m/>
    <m/>
  </r>
  <r>
    <x v="38"/>
    <s v="Taxi: Sibiti-Loudima /Roderlin"/>
    <s v="Transport"/>
    <s v="Legal"/>
    <n v="4000"/>
    <n v="6.5165492656011885"/>
    <n v="613.82180000000005"/>
    <s v="Roderlin"/>
    <s v="RO-F-R7"/>
    <s v="PALF"/>
    <x v="2"/>
    <s v="Congo"/>
    <m/>
    <m/>
    <m/>
  </r>
  <r>
    <x v="38"/>
    <s v="EVARISTE - CONGO Ration du 15 au 28 février 2025, mission d'Owando (13 nuitées)"/>
    <s v="Travel Subsistence"/>
    <s v="Media"/>
    <n v="130000"/>
    <n v="211.78785113203864"/>
    <n v="613.82180000000005"/>
    <s v="Evariste"/>
    <s v="EV-F-D1"/>
    <s v="PALF"/>
    <x v="2"/>
    <s v="Congo"/>
    <m/>
    <m/>
    <m/>
  </r>
  <r>
    <x v="38"/>
    <s v="Achat billet Loudima-Brazzaville /Roderlin"/>
    <s v="Transport"/>
    <s v="Legal"/>
    <n v="7000"/>
    <n v="11.403961214802081"/>
    <n v="613.82180000000005"/>
    <s v="Roderlin"/>
    <s v="RO-F-R8"/>
    <s v="PALF"/>
    <x v="2"/>
    <s v="Congo"/>
    <m/>
    <m/>
    <m/>
  </r>
  <r>
    <x v="39"/>
    <s v="Achat credit téléphonique pour P29/Appel trust à l'international"/>
    <s v="Telephone"/>
    <s v="Investigations"/>
    <n v="15000"/>
    <n v="24.437059746004458"/>
    <n v="613.82180000000005"/>
    <s v="Merveille"/>
    <s v="CA-F-R26"/>
    <s v="PALF"/>
    <x v="2"/>
    <s v="Congo"/>
    <m/>
    <m/>
    <m/>
  </r>
  <r>
    <x v="40"/>
    <s v="Frais de transfert d'argent à Crepin"/>
    <s v="Transfer Fees"/>
    <s v="Office"/>
    <n v="9000"/>
    <n v="14.662235847602675"/>
    <n v="613.82180000000005"/>
    <s v="Parfaite"/>
    <s v="CA-F-R27"/>
    <s v="PALF"/>
    <x v="2"/>
    <s v="Congo"/>
    <m/>
    <m/>
    <m/>
  </r>
  <r>
    <x v="40"/>
    <s v="IT87 - CONGO Frais d'hôtel Dzongo Bénoît du 15 au 18/02/2025 à Madingou (03 nuitées)"/>
    <s v="Travel Subsistence"/>
    <s v="Investigations"/>
    <n v="45000"/>
    <n v="73.311179238013366"/>
    <n v="613.82180000000005"/>
    <s v="IT87"/>
    <s v="IT87-F-R8"/>
    <s v="PALF"/>
    <x v="2"/>
    <s v="Congo"/>
    <m/>
    <m/>
    <m/>
  </r>
  <r>
    <x v="40"/>
    <s v="Achat billet Madingou - Mouyondzi/ IT87"/>
    <s v="Transport"/>
    <s v="Investigations"/>
    <n v="4000"/>
    <n v="6.5165492656011885"/>
    <n v="613.82180000000005"/>
    <s v="IT87"/>
    <s v="IT87-F-R9"/>
    <s v="PALF"/>
    <x v="2"/>
    <s v="Congo"/>
    <m/>
    <m/>
    <m/>
  </r>
  <r>
    <x v="40"/>
    <s v="Frais de mission maitre BANZOUZI à Owando du 19 au 21/02/205 suivi audience cas MONICK"/>
    <s v="Lawyer Fees"/>
    <s v="Legal"/>
    <n v="70000"/>
    <n v="114.03961214802079"/>
    <n v="613.82180000000005"/>
    <s v="Roderlin"/>
    <s v="CA-F-R28"/>
    <s v="PALF"/>
    <x v="2"/>
    <s v="Congo"/>
    <m/>
    <m/>
    <m/>
  </r>
  <r>
    <x v="41"/>
    <s v="Fonds envoyé à un informateur  en RDC pour des informations"/>
    <s v="Trust Building"/>
    <s v="Investigations"/>
    <n v="30000"/>
    <n v="48.874119492008916"/>
    <n v="613.82180000000005"/>
    <s v="Merveille"/>
    <s v="CA-F-R29"/>
    <s v="PALF"/>
    <x v="2"/>
    <s v="Congo"/>
    <m/>
    <m/>
    <m/>
  </r>
  <r>
    <x v="41"/>
    <s v="Frais de transfert bonus à informateur"/>
    <s v="Transfer Fees"/>
    <s v="Office"/>
    <n v="1952"/>
    <n v="3.3698684387478939"/>
    <n v="579.25099999999998"/>
    <s v="Merveille"/>
    <s v="CA-F-R30"/>
    <s v="PALF"/>
    <x v="1"/>
    <s v="Congo"/>
    <m/>
    <m/>
    <m/>
  </r>
  <r>
    <x v="41"/>
    <s v="Frais de transfert d'argent à Abraham"/>
    <s v="Transfer Fees"/>
    <s v="Office"/>
    <n v="14250"/>
    <n v="23.215206758704234"/>
    <n v="613.82180000000005"/>
    <s v="Parfaite"/>
    <s v="CA-F-R31"/>
    <s v="PALF"/>
    <x v="2"/>
    <s v="Congo"/>
    <m/>
    <m/>
    <m/>
  </r>
  <r>
    <x v="42"/>
    <s v="IT87 - CONGO Frais d'hôtel DZA MATSAKA du 18 au 20/02/2025 à Mouyondzi (02 nuitées)"/>
    <s v="Travel Subsistence"/>
    <s v="Investigations"/>
    <n v="30000"/>
    <n v="48.874119492008916"/>
    <n v="613.82180000000005"/>
    <s v="IT87"/>
    <s v="IT87-F-R10"/>
    <s v="PALF"/>
    <x v="2"/>
    <s v="Congo"/>
    <m/>
    <m/>
    <m/>
  </r>
  <r>
    <x v="42"/>
    <s v="Achat billet Mouyondzi - Loutété/ IT87"/>
    <s v="Transport"/>
    <s v="Investigations"/>
    <n v="4000"/>
    <n v="6.5165492656011885"/>
    <n v="613.82180000000005"/>
    <s v="IT87"/>
    <s v="IT87-F-R11"/>
    <s v="PALF"/>
    <x v="2"/>
    <s v="Congo"/>
    <m/>
    <m/>
    <m/>
  </r>
  <r>
    <x v="42"/>
    <s v="ABRAHAM - CONGO frais d'Hôtel  du 15au 20/02/2025 Owando (05Nuitées)"/>
    <s v="Travel Subsistence"/>
    <s v="Legal"/>
    <n v="75000"/>
    <n v="122.18529873002228"/>
    <n v="613.82180000000005"/>
    <s v="Abraham"/>
    <s v="AB-F-R5"/>
    <s v="PALF"/>
    <x v="2"/>
    <s v="Congo"/>
    <m/>
    <m/>
    <m/>
  </r>
  <r>
    <x v="43"/>
    <s v="Frais de transfert d'argent à T73,P29 et Abraham"/>
    <s v="Transfer Fees"/>
    <s v="Office"/>
    <n v="14700"/>
    <n v="23.94831855108437"/>
    <n v="613.82180000000005"/>
    <s v="Roderlin"/>
    <s v="CA-F-R43"/>
    <s v="PALF"/>
    <x v="2"/>
    <s v="Congo"/>
    <m/>
    <m/>
    <m/>
  </r>
  <r>
    <x v="44"/>
    <s v="CREPIN - CONGO Hébergement à l'hôtel Essebo d'Owando, 07 Nuitées du 15 au 22/02/2025"/>
    <s v="Travel Subsistence"/>
    <s v="Legal"/>
    <n v="105000"/>
    <n v="171.05941822203121"/>
    <n v="613.82180000000005"/>
    <s v="Crépin"/>
    <s v="CR-F-R2"/>
    <s v="PALF"/>
    <x v="2"/>
    <s v="Congo"/>
    <m/>
    <m/>
    <m/>
  </r>
  <r>
    <x v="44"/>
    <s v="T73 - CONGO Frais d'hotel du 10 au 22/02/2025 (12 nuitées ) à Owando"/>
    <s v="Travel Subsistence"/>
    <s v="Investigations"/>
    <n v="180000"/>
    <n v="293.24471695205347"/>
    <n v="613.82180000000005"/>
    <s v="T73"/>
    <s v="T73-F-R5"/>
    <s v="PALF"/>
    <x v="2"/>
    <s v="Congo"/>
    <m/>
    <m/>
    <m/>
  </r>
  <r>
    <x v="44"/>
    <s v="IT87 - CONGO Frais d'hôtel Clair Matin du 20 au 22/02/2025 à Loutété (02 nuitées)"/>
    <s v="Travel Subsistence"/>
    <s v="Investigations"/>
    <n v="30000"/>
    <n v="48.874119492008916"/>
    <n v="613.82180000000005"/>
    <s v="IT87"/>
    <s v="IT87-F-R12"/>
    <s v="PALF"/>
    <x v="2"/>
    <s v="Congo"/>
    <m/>
    <m/>
    <m/>
  </r>
  <r>
    <x v="44"/>
    <s v="Achat billet Loutété - Brazzaville/ IT87"/>
    <s v="Transport"/>
    <s v="Investigations"/>
    <n v="7000"/>
    <n v="11.403961214802081"/>
    <n v="613.82180000000005"/>
    <s v="IT87"/>
    <s v="IT87-F-R13"/>
    <s v="PALF"/>
    <x v="2"/>
    <s v="Congo"/>
    <m/>
    <m/>
    <m/>
  </r>
  <r>
    <x v="45"/>
    <s v="Cumul frais de trust building du mois de Février 2025/T73"/>
    <s v="Trust Building"/>
    <s v="Investigations"/>
    <n v="68000"/>
    <n v="110.7813375152202"/>
    <n v="613.82180000000005"/>
    <s v="T73"/>
    <s v="T73-F-D2"/>
    <s v="PALF"/>
    <x v="2"/>
    <s v="Congo"/>
    <m/>
    <m/>
    <m/>
  </r>
  <r>
    <x v="46"/>
    <s v="Plats et raffraichissements"/>
    <s v="Travel Subsistence"/>
    <s v="Operations"/>
    <n v="10500"/>
    <n v="17.105941822203121"/>
    <n v="613.82180000000005"/>
    <s v="Crépin"/>
    <s v="CR-F-R3"/>
    <s v="PALF"/>
    <x v="2"/>
    <s v="Congo"/>
    <m/>
    <m/>
    <m/>
  </r>
  <r>
    <x v="46"/>
    <s v="01 bidon d'eau de 10 litres pour les OPJ sous instruction du Coordinateur"/>
    <s v="Office Materials"/>
    <s v="Operations"/>
    <n v="1500"/>
    <n v="2.4437059746004457"/>
    <n v="613.82180000000005"/>
    <s v="Crépin"/>
    <s v="CR-F-D2"/>
    <s v="PALF"/>
    <x v="2"/>
    <s v="Congo"/>
    <m/>
    <m/>
    <m/>
  </r>
  <r>
    <x v="46"/>
    <s v="Achat credit téléphonique pour le coordinateur"/>
    <s v="Telephone"/>
    <s v="Management"/>
    <n v="5000"/>
    <n v="8.1456865820014865"/>
    <n v="613.82180000000005"/>
    <s v="Merveille"/>
    <s v="CA-F-R34"/>
    <s v="PALF"/>
    <x v="2"/>
    <s v="Congo"/>
    <m/>
    <m/>
    <m/>
  </r>
  <r>
    <x v="46"/>
    <s v="P29 - CONGO Frais hotel du 10 au 24/02/2025 à owando/(14 Nuitées)"/>
    <s v="Travel Subsistence"/>
    <s v="Investigations"/>
    <n v="210000"/>
    <n v="342.11883644406242"/>
    <n v="613.82180000000005"/>
    <s v="P29"/>
    <s v="P29-F-R8"/>
    <s v="PALF"/>
    <x v="2"/>
    <s v="Congo"/>
    <m/>
    <m/>
    <m/>
  </r>
  <r>
    <x v="46"/>
    <s v="Location véhicule extraction owando-oyo/P29"/>
    <s v="Transport"/>
    <s v="Operations"/>
    <n v="50000"/>
    <n v="81.456865820014855"/>
    <n v="613.82180000000005"/>
    <s v="P29"/>
    <s v="P29-F-R9"/>
    <s v="PALF"/>
    <x v="2"/>
    <s v="Congo"/>
    <m/>
    <m/>
    <m/>
  </r>
  <r>
    <x v="46"/>
    <s v="Locaation vehicule 1 pour extraction  du stade à la vouma/P29"/>
    <s v="Transport"/>
    <s v="Operations"/>
    <n v="8000"/>
    <n v="13.033098531202377"/>
    <n v="613.82180000000005"/>
    <s v="P29"/>
    <s v="P29-F-R10"/>
    <s v="PALF"/>
    <x v="2"/>
    <s v="Congo"/>
    <m/>
    <m/>
    <m/>
  </r>
  <r>
    <x v="46"/>
    <s v="Locaation vehicule 2  pour extraction de la vouma station AOGC/P29"/>
    <s v="Transport"/>
    <s v="Operations"/>
    <n v="8000"/>
    <n v="13.033098531202377"/>
    <n v="613.82180000000005"/>
    <s v="P29"/>
    <s v="P29-F-R11"/>
    <s v="PALF"/>
    <x v="2"/>
    <s v="Congo"/>
    <m/>
    <m/>
    <m/>
  </r>
  <r>
    <x v="46"/>
    <s v="Rafraichissement en attente opération "/>
    <s v="Travel Subsistence"/>
    <s v="Operations"/>
    <n v="18000"/>
    <n v="29.32447169520535"/>
    <n v="613.82180000000005"/>
    <s v="Romain"/>
    <s v="RM-F-R5"/>
    <s v="PALF"/>
    <x v="2"/>
    <s v="Congo"/>
    <m/>
    <m/>
    <m/>
  </r>
  <r>
    <x v="46"/>
    <s v="Carburant BJ Opération"/>
    <s v="Transport"/>
    <s v="Operations"/>
    <n v="25000"/>
    <n v="40.728432910007427"/>
    <n v="613.82180000000005"/>
    <s v="Romain"/>
    <s v="RM-F-R6"/>
    <s v="PALF"/>
    <x v="2"/>
    <s v="Congo"/>
    <m/>
    <m/>
    <m/>
  </r>
  <r>
    <x v="46"/>
    <s v="Rafraîchissement attente OP"/>
    <s v="Travel Subsistence"/>
    <s v="Legal"/>
    <n v="5100"/>
    <n v="8.3086003136415147"/>
    <n v="613.82180000000005"/>
    <s v="Abraham"/>
    <s v="AB-F-R3"/>
    <s v="PALF"/>
    <x v="2"/>
    <s v="Congo"/>
    <m/>
    <m/>
    <m/>
  </r>
  <r>
    <x v="46"/>
    <s v="Frais de transfert charden farell à Abraham (pour le compte de DOVI et Crépin)"/>
    <s v="Transfer Fees"/>
    <s v="Office"/>
    <n v="8100"/>
    <n v="13.196012262842407"/>
    <n v="613.82180000000005"/>
    <s v="Roderlin"/>
    <s v="CA-F-R33"/>
    <s v="PALF"/>
    <x v="2"/>
    <s v="Congo"/>
    <m/>
    <m/>
    <m/>
  </r>
  <r>
    <x v="46"/>
    <s v="Rafraichissement de mon équipe lors de l'opération"/>
    <s v="Travel Subsistence"/>
    <s v="Operations"/>
    <n v="9800"/>
    <n v="15.965545700722911"/>
    <n v="613.82180000000005"/>
    <s v="Evariste"/>
    <s v="EV-F-D2"/>
    <s v="PALF"/>
    <x v="2"/>
    <s v="Congo"/>
    <m/>
    <m/>
    <m/>
  </r>
  <r>
    <x v="47"/>
    <s v="Achat billet Owando -Brazzaville/DOVI"/>
    <s v="Transport"/>
    <s v="Management"/>
    <n v="7000"/>
    <n v="11.403961214802081"/>
    <n v="613.82180000000005"/>
    <s v="DOVI"/>
    <s v="DH-F-R4"/>
    <s v="PALF"/>
    <x v="2"/>
    <s v="Congo"/>
    <m/>
    <m/>
    <m/>
  </r>
  <r>
    <x v="47"/>
    <s v="DOVI-CONGO Frais d'hôtel du 15 Février 2025 au 25 Février 2025 soit 10 nuitées à Owando(Hôtel Savouret)"/>
    <s v="Travel Subsistence"/>
    <s v="Management"/>
    <n v="150000"/>
    <n v="244.37059746004456"/>
    <n v="613.82180000000005"/>
    <s v="DOVI"/>
    <s v="DH-F-R5"/>
    <s v="PALF"/>
    <x v="2"/>
    <s v="Congo"/>
    <m/>
    <m/>
    <m/>
  </r>
  <r>
    <x v="47"/>
    <s v="Bonus pour 18 Gendarmes ayant participé à l'opération du 24/02/2025  à Owando"/>
    <s v="Bonus"/>
    <s v="Operations"/>
    <n v="180000"/>
    <n v="293.24471695205347"/>
    <n v="613.82180000000005"/>
    <s v="Crépin"/>
    <s v="CR-F-R4"/>
    <s v="PALF"/>
    <x v="2"/>
    <s v="Congo"/>
    <m/>
    <m/>
    <m/>
  </r>
  <r>
    <x v="47"/>
    <s v="Bonus pour 02 EF ayant participé à l'opération du 24/02/2025  à Owando"/>
    <s v="Bonus"/>
    <s v="Operations"/>
    <n v="20000"/>
    <n v="32.582746328005946"/>
    <n v="613.82180000000005"/>
    <s v="Crépin"/>
    <s v="CR-F-R5"/>
    <s v="PALF"/>
    <x v="2"/>
    <s v="Congo"/>
    <m/>
    <m/>
    <m/>
  </r>
  <r>
    <x v="47"/>
    <s v="P29 - CONGO Frais de Location d'appartement pour op à owando du 22 au 25/02/2025  (occupé par crepin)/03 Nuitées"/>
    <s v="Travel Subsistence"/>
    <s v="Operations"/>
    <n v="105000"/>
    <n v="181.26853794494306"/>
    <n v="579.25099999999998"/>
    <s v="P29"/>
    <s v="P29-F-R12"/>
    <s v="PALF"/>
    <x v="1"/>
    <s v="Congo"/>
    <m/>
    <m/>
    <m/>
  </r>
  <r>
    <x v="47"/>
    <s v="P29 - CONGO Frais de location d'appartement pour op à Owando du 22 au 25/02/2025  (occupé par T73)/03 Nuitées"/>
    <s v="Travel Subsistence"/>
    <s v="Operations"/>
    <n v="105000"/>
    <n v="181.26853794494306"/>
    <n v="579.25099999999998"/>
    <s v="P29"/>
    <s v="P29-F-R13"/>
    <s v="PALF"/>
    <x v="1"/>
    <s v="Congo"/>
    <m/>
    <m/>
    <m/>
  </r>
  <r>
    <x v="47"/>
    <s v="Achat billet Brazzaville - Loutété/ IT87"/>
    <s v="Transport"/>
    <s v="Investigations"/>
    <n v="7000"/>
    <n v="11.403961214802081"/>
    <n v="613.82180000000005"/>
    <s v="IT87"/>
    <s v="IT87-F-R14"/>
    <s v="PALF"/>
    <x v="2"/>
    <s v="Congo"/>
    <m/>
    <m/>
    <m/>
  </r>
  <r>
    <x v="47"/>
    <s v="ROMAIN - CONGO - Frais d'hôtel du 15 au 25/02/2025 à Owando(10 Nuitées)"/>
    <s v="Travel Subsistence"/>
    <s v="Legal"/>
    <n v="150000"/>
    <n v="244.37059746004456"/>
    <n v="613.82180000000005"/>
    <s v="Romain"/>
    <s v="RM-F-R8"/>
    <s v="PALF"/>
    <x v="2"/>
    <s v="Congo"/>
    <m/>
    <m/>
    <m/>
  </r>
  <r>
    <x v="47"/>
    <s v="EVARISTE - CONGO Frais de l'hôtel du 15 au 25 février 2025 à Owando (10 nuitées)"/>
    <s v="Travel Subsistence"/>
    <s v="Media"/>
    <n v="150000"/>
    <n v="244.37059746004456"/>
    <n v="613.82180000000005"/>
    <s v="Evariste"/>
    <s v="EV-F-R2"/>
    <s v="PALF"/>
    <x v="2"/>
    <s v="Congo"/>
    <m/>
    <m/>
    <m/>
  </r>
  <r>
    <x v="48"/>
    <s v="Frais de mission à Owando de maitre Alain du 27/02 au 04/03/2025"/>
    <s v="Lawyer Fees"/>
    <s v="Legal"/>
    <n v="148000"/>
    <n v="241.11232282724399"/>
    <n v="613.82180000000005"/>
    <s v="Merveille"/>
    <s v="CA-F-R35"/>
    <s v="PALF"/>
    <x v="2"/>
    <s v="Congo"/>
    <m/>
    <m/>
    <m/>
  </r>
  <r>
    <x v="48"/>
    <s v="Frais de transfert d'argent à Abraham"/>
    <s v="Transfer Fees"/>
    <s v="Office"/>
    <n v="10980"/>
    <n v="17.887927734075262"/>
    <n v="613.82180000000005"/>
    <s v="Parfaite"/>
    <s v="CA-F-R44"/>
    <s v="PALF"/>
    <x v="2"/>
    <s v="Congo"/>
    <m/>
    <m/>
    <m/>
  </r>
  <r>
    <x v="48"/>
    <s v="IT87 - CONGO Ration  du 26 au 28/02/2025 à Loutété"/>
    <s v="Travel Subsistence"/>
    <s v="Investigations"/>
    <n v="20000"/>
    <n v="32.582746328005946"/>
    <n v="613.82180000000005"/>
    <s v="IT87"/>
    <s v="IT87-F-D3"/>
    <s v="PALF"/>
    <x v="2"/>
    <s v="Congo"/>
    <m/>
    <m/>
    <m/>
  </r>
  <r>
    <x v="48"/>
    <s v="Cumul frais de transport local du mois Février 2025/G12"/>
    <s v="Transport"/>
    <s v="Investigations"/>
    <n v="40100"/>
    <n v="65.32840638765191"/>
    <n v="613.82180000000005"/>
    <s v="G12"/>
    <s v="G12-F-D3"/>
    <s v="PALF"/>
    <x v="2"/>
    <s v="Congo"/>
    <m/>
    <m/>
    <m/>
  </r>
  <r>
    <x v="48"/>
    <s v="Achat médicaments du prévenu Dodo"/>
    <s v="Jail visit"/>
    <s v="Operations"/>
    <n v="4000"/>
    <n v="6.9054681121883075"/>
    <n v="579.25099999999998"/>
    <s v="Abraham"/>
    <s v="AB-F-R4"/>
    <s v="PALF"/>
    <x v="1"/>
    <s v="Congo"/>
    <m/>
    <m/>
    <m/>
  </r>
  <r>
    <x v="49"/>
    <s v="Reglement prestation de nettoyage jardin PALF du mois de Février 2025"/>
    <s v="Services"/>
    <s v="Office"/>
    <n v="20000"/>
    <n v="34.527340560941539"/>
    <n v="579.25099999999998"/>
    <s v="Merveille"/>
    <s v="CA-F-R36"/>
    <s v="PALF"/>
    <x v="1"/>
    <s v="Congo"/>
    <m/>
    <m/>
    <m/>
  </r>
  <r>
    <x v="49"/>
    <s v="Cumul frais de Trust building du mois de Février 2025/IT87"/>
    <s v="Trust Building"/>
    <s v="Investigations"/>
    <n v="29000"/>
    <n v="50.06464381336523"/>
    <n v="579.25099999999998"/>
    <s v="IT87"/>
    <s v="IT87-F-D4"/>
    <s v="PALF"/>
    <x v="1"/>
    <s v="Congo"/>
    <m/>
    <m/>
    <m/>
  </r>
  <r>
    <x v="49"/>
    <s v="Cumul frais de transport local du mois de Février 2025/Roderlin"/>
    <s v="Transport"/>
    <s v="Legal"/>
    <n v="26900"/>
    <n v="46.439273054466369"/>
    <n v="579.25099999999998"/>
    <s v="Roderlin"/>
    <s v="RO-F-D4"/>
    <s v="PALF"/>
    <x v="1"/>
    <s v="Congo"/>
    <m/>
    <m/>
    <m/>
  </r>
  <r>
    <x v="49"/>
    <s v="Frais de transfert d'argent à IT87"/>
    <s v="Transfer Fees"/>
    <s v="Office"/>
    <n v="560"/>
    <n v="0.93929314835967548"/>
    <n v="596.19299999999998"/>
    <s v="Roderlin"/>
    <s v="CA-F-R37"/>
    <s v="PALF"/>
    <x v="0"/>
    <s v="Congo"/>
    <m/>
    <m/>
    <m/>
  </r>
  <r>
    <x v="49"/>
    <s v="Cumul frais de transport local du mois de Février 2025/Parfaite"/>
    <s v="Transport"/>
    <s v="Office"/>
    <n v="7000"/>
    <n v="11.741164354495943"/>
    <n v="579.25099999999998"/>
    <s v="Parfaite"/>
    <s v="P-F-D1"/>
    <s v="PALF"/>
    <x v="1"/>
    <s v="Congo"/>
    <m/>
    <m/>
    <m/>
  </r>
  <r>
    <x v="50"/>
    <s v="Cumul frais de transport local du mois de Février 2025/DOVI"/>
    <s v="Transport"/>
    <s v="Management"/>
    <n v="39500"/>
    <n v="68.191497607859532"/>
    <n v="579.25099999999998"/>
    <s v="DOVI"/>
    <s v="DH-F-D2"/>
    <s v="PALF"/>
    <x v="1"/>
    <s v="Congo"/>
    <m/>
    <m/>
    <m/>
  </r>
  <r>
    <x v="50"/>
    <s v="Cumul frais de transport local du mois de Février 2025/Crepin IBOUILI IBOUILI"/>
    <s v="Transport"/>
    <s v="Legal"/>
    <n v="14000"/>
    <n v="24.169138392659075"/>
    <n v="579.25099999999998"/>
    <s v="Crépin"/>
    <s v="CR-F-D3"/>
    <s v="PALF"/>
    <x v="1"/>
    <s v="Congo"/>
    <m/>
    <m/>
    <m/>
  </r>
  <r>
    <x v="50"/>
    <s v="Cumul frais de transport local du mois de Février 2025/Merveille"/>
    <s v="Transport"/>
    <s v="Office"/>
    <n v="35500"/>
    <n v="61.286029495671229"/>
    <n v="579.25099999999998"/>
    <s v="Merveille"/>
    <s v="ME-F-D1"/>
    <s v="PALF"/>
    <x v="1"/>
    <s v="Congo"/>
    <m/>
    <m/>
    <m/>
  </r>
  <r>
    <x v="50"/>
    <s v="Ramassage ordure du mois Février 2025/Bureau PALF"/>
    <s v="Services"/>
    <s v="Office"/>
    <n v="6000"/>
    <n v="10.35820216828246"/>
    <n v="579.25099999999998"/>
    <s v="Merveille"/>
    <s v="CA-F-R38"/>
    <s v="PALF"/>
    <x v="1"/>
    <s v="Congo"/>
    <m/>
    <m/>
    <m/>
  </r>
  <r>
    <x v="50"/>
    <s v="Reglement facture internet periode du 01/03 au 31/03/2025 bureau PALF"/>
    <s v="Internet"/>
    <s v="Office"/>
    <n v="45050"/>
    <n v="77.772834613520814"/>
    <n v="579.25099999999998"/>
    <s v="Merveille"/>
    <s v="CA-F-R39"/>
    <s v="PALF"/>
    <x v="1"/>
    <s v="Congo"/>
    <m/>
    <m/>
    <m/>
  </r>
  <r>
    <x v="50"/>
    <s v="Achat fourniture de bureau/Classeurs,stylo,intercalaire,rame papier,surligneur,chemise cartonnée"/>
    <s v="Office Materials"/>
    <s v="Office"/>
    <n v="182000"/>
    <n v="314.19879910456797"/>
    <n v="579.25099999999998"/>
    <s v="Merveille"/>
    <s v="CA-F-R41"/>
    <s v="PALF"/>
    <x v="1"/>
    <s v="Congo"/>
    <m/>
    <m/>
    <m/>
  </r>
  <r>
    <x v="50"/>
    <s v="Frais de carte de travail Parfaite"/>
    <s v="Personnel"/>
    <s v="Office"/>
    <n v="10500"/>
    <n v="18.126853794494306"/>
    <n v="579.25099999999998"/>
    <s v="Merveille"/>
    <s v="CA-F-R42"/>
    <s v="PALF"/>
    <x v="1"/>
    <s v="Congo"/>
    <m/>
    <m/>
    <m/>
  </r>
  <r>
    <x v="50"/>
    <s v="Frais de transfert d'argent à Romain"/>
    <s v="Transfer Fees"/>
    <s v="Office"/>
    <n v="7020"/>
    <n v="12.119096536890479"/>
    <n v="579.25099999999998"/>
    <s v="Parfaite"/>
    <s v="CA-F-R45"/>
    <s v="PALF"/>
    <x v="1"/>
    <s v="Congo"/>
    <m/>
    <m/>
    <m/>
  </r>
  <r>
    <x v="50"/>
    <s v="Règlement prestation technicienne de surface (mois de Février 2025)"/>
    <s v="Services"/>
    <s v="Office"/>
    <n v="75625"/>
    <n v="130.55650649606019"/>
    <n v="579.25099999999998"/>
    <s v="Parfaite"/>
    <s v="CA-F-R40"/>
    <s v="PALF"/>
    <x v="1"/>
    <s v="Congo"/>
    <m/>
    <m/>
    <m/>
  </r>
  <r>
    <x v="50"/>
    <s v="Achat billet billet oyo-brazzaville/P29"/>
    <s v="Transport"/>
    <s v="Investigations"/>
    <n v="6000"/>
    <n v="10.35820216828246"/>
    <n v="579.25099999999998"/>
    <s v="P29"/>
    <s v="P29-F-R14"/>
    <s v="PALF"/>
    <x v="1"/>
    <s v="Congo"/>
    <m/>
    <m/>
    <m/>
  </r>
  <r>
    <x v="50"/>
    <s v="P29 - CONGO Frais d'hotel du 24 au 28/02/2025  à Oyo(04 Nuitées)"/>
    <s v="Travel Subsistence"/>
    <s v="Investigations"/>
    <n v="60000"/>
    <n v="103.5820216828246"/>
    <n v="579.25099999999998"/>
    <s v="P29"/>
    <s v="P29-F-R15"/>
    <s v="PALF"/>
    <x v="1"/>
    <s v="Congo"/>
    <m/>
    <m/>
    <m/>
  </r>
  <r>
    <x v="50"/>
    <s v="Cumul frais de transport local du mois de Février 2025/P29"/>
    <s v="Transport"/>
    <s v="Investigations"/>
    <n v="66800"/>
    <n v="115.32131747354472"/>
    <n v="579.25099999999998"/>
    <s v="P29"/>
    <s v="P29-F-D3"/>
    <s v="PALF"/>
    <x v="1"/>
    <s v="Congo"/>
    <m/>
    <m/>
    <m/>
  </r>
  <r>
    <x v="50"/>
    <s v="T73 - CONGO Frais d'hotel du 24 au 28/02/2025 (04 nuitées ) à Oyo"/>
    <s v="Travel Subsistence"/>
    <s v="Investigations"/>
    <n v="60000"/>
    <n v="103.5820216828246"/>
    <n v="579.25099999999998"/>
    <s v="T73"/>
    <s v="T73-F-R6"/>
    <s v="PALF"/>
    <x v="1"/>
    <s v="Congo"/>
    <m/>
    <m/>
    <m/>
  </r>
  <r>
    <x v="50"/>
    <s v="Achat billet : Oyo - Brazzaville /T73"/>
    <s v="Transport"/>
    <s v="Investigations"/>
    <n v="6000"/>
    <n v="10.35820216828246"/>
    <n v="579.25099999999998"/>
    <s v="T73"/>
    <s v="T73-F-R7"/>
    <s v="PALF"/>
    <x v="1"/>
    <s v="Congo"/>
    <m/>
    <m/>
    <m/>
  </r>
  <r>
    <x v="50"/>
    <s v="Cumul frais de transport local du mois de Février 2025/T73"/>
    <s v="Transport"/>
    <s v="Investigations"/>
    <n v="53700"/>
    <n v="92.705909406128029"/>
    <n v="579.25099999999998"/>
    <s v="T73"/>
    <s v="T73-F-D3"/>
    <s v="PALF"/>
    <x v="1"/>
    <s v="Congo"/>
    <m/>
    <m/>
    <m/>
  </r>
  <r>
    <x v="50"/>
    <s v="IT87 - CONGO Frais d'hôtel Clair Matin du 26 au 28/02/2025 à Loutété (02 nuitées)"/>
    <s v="Travel Subsistence"/>
    <s v="Investigations"/>
    <n v="30000"/>
    <n v="51.791010841412302"/>
    <n v="579.25099999999998"/>
    <s v="IT87"/>
    <s v="IT87-F-R15"/>
    <s v="PALF"/>
    <x v="1"/>
    <s v="Congo"/>
    <m/>
    <m/>
    <m/>
  </r>
  <r>
    <x v="50"/>
    <s v="Achat billet Loutété - Brazzaville/ IT87"/>
    <s v="Transport"/>
    <s v="Investigations"/>
    <n v="7000"/>
    <n v="12.084569196329538"/>
    <n v="579.25099999999998"/>
    <s v="IT87"/>
    <s v="IT87-F-R16"/>
    <s v="PALF"/>
    <x v="1"/>
    <s v="Congo"/>
    <m/>
    <m/>
    <m/>
  </r>
  <r>
    <x v="50"/>
    <s v="Cumul frais de Transport local du mois de Février 2025/IT87"/>
    <s v="Transport"/>
    <s v="Investigations"/>
    <n v="66500"/>
    <n v="114.80340736513061"/>
    <n v="579.25099999999998"/>
    <s v="IT87"/>
    <s v="IT87-F-D5"/>
    <s v="PALF"/>
    <x v="1"/>
    <s v="Congo"/>
    <m/>
    <m/>
    <m/>
  </r>
  <r>
    <x v="50"/>
    <s v="Impréssion de la procédure de la Gendarmerie"/>
    <s v="Office Materials"/>
    <s v="Legal"/>
    <n v="24675"/>
    <n v="42.598106417061622"/>
    <n v="579.25099999999998"/>
    <s v="Romain"/>
    <s v="RM-F-R7"/>
    <s v="PALF"/>
    <x v="1"/>
    <s v="Congo"/>
    <m/>
    <m/>
    <m/>
  </r>
  <r>
    <x v="50"/>
    <s v="Cumul frais de transport local du mois de Février 2025/Romain"/>
    <s v="Transport"/>
    <s v="Legal"/>
    <n v="35500"/>
    <n v="61.286029495671229"/>
    <n v="579.25099999999998"/>
    <s v="Romain"/>
    <s v="RM-F-D3"/>
    <s v="PALF"/>
    <x v="1"/>
    <s v="Congo"/>
    <m/>
    <m/>
    <m/>
  </r>
  <r>
    <x v="50"/>
    <s v="Cumul frais de jail visits du mois de Février 2025/Abraham"/>
    <s v="Jail visit"/>
    <s v="Operations"/>
    <n v="18000"/>
    <n v="31.074606504847381"/>
    <n v="579.25099999999998"/>
    <s v="Abraham"/>
    <s v="AB-F-D2"/>
    <s v="PALF"/>
    <x v="1"/>
    <s v="Congo"/>
    <m/>
    <m/>
    <m/>
  </r>
  <r>
    <x v="50"/>
    <s v="Cumul frais de transport local du mois de Février 2025/Abraham"/>
    <s v="Transport"/>
    <s v="Legal"/>
    <n v="45000"/>
    <n v="77.68651626211846"/>
    <n v="579.25099999999998"/>
    <s v="Abraham"/>
    <s v="AB-F-D3"/>
    <s v="PALF"/>
    <x v="1"/>
    <s v="Congo"/>
    <m/>
    <m/>
    <m/>
  </r>
  <r>
    <x v="50"/>
    <s v="EVARISTE - CONGO Frais de l'hôtel du 25 au 28 février 2025 (3 nuitées) "/>
    <s v="Travel Subsistence"/>
    <s v="Media"/>
    <n v="45000"/>
    <n v="77.68651626211846"/>
    <n v="579.25099999999998"/>
    <s v="Evariste"/>
    <s v="EV-F-R3"/>
    <s v="PALF"/>
    <x v="1"/>
    <s v="Congo"/>
    <m/>
    <m/>
    <m/>
  </r>
  <r>
    <x v="50"/>
    <s v="Achat billet Owando-Brazzaville/Evariste"/>
    <s v="Transport"/>
    <s v="Media"/>
    <n v="7000"/>
    <n v="12.084569196329538"/>
    <n v="579.25099999999998"/>
    <s v="Evariste"/>
    <s v="EV-F-R4"/>
    <s v="PALF"/>
    <x v="1"/>
    <s v="Congo"/>
    <m/>
    <m/>
    <m/>
  </r>
  <r>
    <x v="50"/>
    <s v="Cumul frais de transport local du mois de Février 2025/Evariste"/>
    <s v="Transport"/>
    <s v="Media"/>
    <n v="33500"/>
    <n v="57.833295439577071"/>
    <n v="579.25099999999998"/>
    <s v="Evariste"/>
    <s v="EV-F-D3"/>
    <s v="PALF"/>
    <x v="1"/>
    <s v="Congo"/>
    <m/>
    <m/>
    <m/>
  </r>
  <r>
    <x v="50"/>
    <s v="Bonus media portant sur l'interpellation de deux présumé trafiquants le 24/02/2025 à Owando"/>
    <s v="Bonus to media officer"/>
    <s v="Media"/>
    <n v="200000"/>
    <n v="345.27340560941536"/>
    <n v="579.25099999999998"/>
    <s v="Evariste"/>
    <s v="CA-F-D13"/>
    <s v="PALF"/>
    <x v="1"/>
    <s v="Congo"/>
    <m/>
    <m/>
    <m/>
  </r>
  <r>
    <x v="51"/>
    <s v="CREPIN - CONGO Hébergement à l'hôtel Case Mbali d'Owando, 05 Nuitées du 24/02/ au 01/03/2025 "/>
    <s v="Travel Subsistence"/>
    <s v="Legal"/>
    <n v="75000"/>
    <n v="129.47754945610797"/>
    <n v="579.25099999999998"/>
    <s v="Crépin"/>
    <s v="CR-M-R1"/>
    <s v="PALF"/>
    <x v="1"/>
    <s v="Congo"/>
    <m/>
    <m/>
    <m/>
  </r>
  <r>
    <x v="51"/>
    <s v="Achat billet Owando-Brazzaville(Trans bony)/Abraham"/>
    <s v="Transport"/>
    <s v="Legal"/>
    <n v="7000"/>
    <n v="12.084571282570078"/>
    <n v="579.25099999999998"/>
    <s v="Abraham"/>
    <s v="AB-M-R1"/>
    <s v="PALF"/>
    <x v="1"/>
    <s v="Congo"/>
    <m/>
    <m/>
    <m/>
  </r>
  <r>
    <x v="51"/>
    <s v="ABRAHAM - CONGO frais d'Hôtel (Hôtel Case Mbali) du 20/02/2025 au 01/03/2025 Owando (09Nuitées)"/>
    <s v="Travel Subsistence"/>
    <s v="Legal"/>
    <n v="135000"/>
    <n v="233.05958902099437"/>
    <n v="579.25099999999998"/>
    <s v="Abraham"/>
    <s v="AB-M-R2"/>
    <s v="PALF"/>
    <x v="1"/>
    <s v="Congo"/>
    <m/>
    <m/>
    <m/>
  </r>
  <r>
    <x v="52"/>
    <s v="Achat credit  teléphonique MTN/PALF/Première partie du mois de Mars2025/Management"/>
    <s v="Telephone"/>
    <s v="Management"/>
    <n v="47000"/>
    <n v="81.139264325827668"/>
    <n v="579.25099999999998"/>
    <s v="Merveille"/>
    <s v="CA-M-R1"/>
    <s v="PALF"/>
    <x v="1"/>
    <s v="Congo"/>
    <m/>
    <m/>
    <m/>
  </r>
  <r>
    <x v="52"/>
    <s v="Achat credit  teléphonique MTN/PALF/Première partie du mois de Mars 2025/Legal"/>
    <s v="Telephone"/>
    <s v="Legal"/>
    <n v="74000"/>
    <n v="127.75118213002654"/>
    <n v="579.25099999999998"/>
    <s v="Merveille"/>
    <s v="CA-M-R2"/>
    <s v="PALF"/>
    <x v="1"/>
    <s v="Congo"/>
    <m/>
    <m/>
    <m/>
  </r>
  <r>
    <x v="52"/>
    <s v="Achat credit  teléphonique MTN/PALF/Première partie du mois de Mars 2025/Investigation"/>
    <s v="Telephone"/>
    <s v="Investigations"/>
    <n v="88000"/>
    <n v="151.9203246951667"/>
    <n v="579.25099999999998"/>
    <s v="Merveille"/>
    <s v="CA-M-R3"/>
    <s v="PALF"/>
    <x v="1"/>
    <s v="Congo"/>
    <m/>
    <m/>
    <m/>
  </r>
  <r>
    <x v="52"/>
    <s v="Achat credit  teléphonique MTN/PALF/Première partie du mois de Mars 2025/Media"/>
    <s v="Telephone"/>
    <s v="Media"/>
    <n v="10000"/>
    <n v="17.263673260814397"/>
    <n v="579.25099999999998"/>
    <s v="Merveille"/>
    <s v="CA-M-R4"/>
    <s v="PALF"/>
    <x v="1"/>
    <s v="Congo"/>
    <m/>
    <m/>
    <m/>
  </r>
  <r>
    <x v="52"/>
    <s v="Achat credit  teléphonique Airtel/PALF/Première partie du mois de Mars 2025/Legal"/>
    <s v="Telephone"/>
    <s v="Legal"/>
    <n v="10000"/>
    <n v="17.263673260814397"/>
    <n v="579.25099999999998"/>
    <s v="Merveille"/>
    <s v="CA-M-R5"/>
    <s v="PALF"/>
    <x v="1"/>
    <s v="Congo"/>
    <m/>
    <m/>
    <m/>
  </r>
  <r>
    <x v="52"/>
    <s v="Achat credit  teléphonique Airtel/PALF/Première partie du mois de Mars 2025/Investigation"/>
    <s v="Telephone"/>
    <s v="Investigations"/>
    <n v="16000"/>
    <n v="27.621877217303034"/>
    <n v="579.25099999999998"/>
    <s v="Merveille"/>
    <s v="CA-M-R6"/>
    <s v="PALF"/>
    <x v="1"/>
    <s v="Congo"/>
    <m/>
    <m/>
    <m/>
  </r>
  <r>
    <x v="52"/>
    <s v="Achat credit  teléphonique Airtel/PALF/Première partie du mois de Mars 2025/Media"/>
    <s v="Telephone"/>
    <s v="Media"/>
    <n v="11000"/>
    <n v="18.990040586895837"/>
    <n v="579.25099999999998"/>
    <s v="Merveille"/>
    <s v="CA-M-R7"/>
    <s v="PALF"/>
    <x v="1"/>
    <s v="Congo"/>
    <m/>
    <m/>
    <m/>
  </r>
  <r>
    <x v="52"/>
    <s v="Achat 01 telephone Tecno POP 7/ 64GB et 4ROM pour Abraham"/>
    <s v="Equipment"/>
    <s v="Legal"/>
    <n v="65000"/>
    <n v="112.21387619529358"/>
    <n v="579.25099999999998"/>
    <s v="Merveille"/>
    <s v="CA-M-R8"/>
    <s v="PALF"/>
    <x v="1"/>
    <s v="Congo"/>
    <m/>
    <m/>
    <m/>
  </r>
  <r>
    <x v="52"/>
    <s v="Bonus operation du 24/02/2025 à Owando/Evariste"/>
    <s v="Bonus"/>
    <s v="Operations"/>
    <n v="45000"/>
    <n v="77.686529673664793"/>
    <n v="579.25099999999998"/>
    <s v="Merveille"/>
    <s v="CA-M-D1"/>
    <s v="PALF"/>
    <x v="1"/>
    <s v="Congo"/>
    <m/>
    <m/>
    <m/>
  </r>
  <r>
    <x v="52"/>
    <s v="Bonus du mois de Janvier 2025/Evariste"/>
    <s v="Personnel"/>
    <s v="Media"/>
    <n v="30000"/>
    <n v="51.791019782443193"/>
    <n v="579.25099999999998"/>
    <s v="Merveille"/>
    <s v="CA-M-D2"/>
    <s v="PALF"/>
    <x v="1"/>
    <s v="Congo"/>
    <m/>
    <m/>
    <m/>
  </r>
  <r>
    <x v="52"/>
    <s v="Bonus du mois de Janvier 2025/Merveille"/>
    <s v="Personnel"/>
    <s v="Office"/>
    <n v="94430"/>
    <n v="163.02086660187035"/>
    <n v="579.25099999999998"/>
    <s v="Merveille"/>
    <s v="CA-M-D3"/>
    <s v="PALF"/>
    <x v="1"/>
    <s v="Congo"/>
    <m/>
    <m/>
    <m/>
  </r>
  <r>
    <x v="52"/>
    <s v="Bonus operation du 24/02/2025 à Owando/Merveille"/>
    <s v="Bonus"/>
    <s v="Operations"/>
    <n v="20000"/>
    <n v="34.527346521628793"/>
    <n v="579.25099999999998"/>
    <s v="Merveille"/>
    <s v="CA-M-D4"/>
    <s v="PALF"/>
    <x v="1"/>
    <s v="Congo"/>
    <m/>
    <m/>
    <m/>
  </r>
  <r>
    <x v="52"/>
    <s v="Bonus operation du 24/02/2025 à Owando/Abraham"/>
    <s v="Bonus"/>
    <s v="Operations"/>
    <n v="45000"/>
    <n v="77.686529673664793"/>
    <n v="579.25099999999998"/>
    <s v="Merveille"/>
    <s v="CA-M-D6"/>
    <s v="PALF"/>
    <x v="1"/>
    <s v="Congo"/>
    <m/>
    <m/>
    <m/>
  </r>
  <r>
    <x v="52"/>
    <s v="Bonus du mois de Janvier 2025/Abraham"/>
    <s v="Personnel"/>
    <s v="Legal"/>
    <n v="30000"/>
    <n v="51.791019782443193"/>
    <n v="579.25099999999998"/>
    <s v="Merveille"/>
    <s v="CA-M-D7"/>
    <s v="PALF"/>
    <x v="1"/>
    <s v="Congo"/>
    <m/>
    <m/>
    <m/>
  </r>
  <r>
    <x v="52"/>
    <s v="Bonus du mois de Janvier 2025/Roderlin"/>
    <s v="Personnel"/>
    <s v="Legal"/>
    <n v="30000"/>
    <n v="51.791019782443193"/>
    <n v="579.25099999999998"/>
    <s v="Merveille"/>
    <s v="CA-M-D8"/>
    <s v="PALF"/>
    <x v="1"/>
    <s v="Congo"/>
    <m/>
    <m/>
    <m/>
  </r>
  <r>
    <x v="52"/>
    <s v="Achat 10 ampoules pour le bureau "/>
    <s v="Office Materials"/>
    <s v="Office"/>
    <n v="25000"/>
    <n v="43.159183152035993"/>
    <n v="579.25099999999998"/>
    <s v="Parfaite"/>
    <s v="CA-M-R9"/>
    <s v="PALF"/>
    <x v="1"/>
    <s v="Congo"/>
    <m/>
    <m/>
    <m/>
  </r>
  <r>
    <x v="52"/>
    <s v="Bonus du mois de Janvier 2025/Parfaite"/>
    <s v="Personnel"/>
    <s v="Office"/>
    <n v="15000"/>
    <n v="25.895509891221597"/>
    <n v="579.25099999999998"/>
    <s v="Parfaite"/>
    <s v="CA-M-D5"/>
    <s v="PALF"/>
    <x v="1"/>
    <s v="Congo"/>
    <m/>
    <m/>
    <m/>
  </r>
  <r>
    <x v="52"/>
    <s v="Achat carburant 100 Litres de gazoil groupe electrogène Bureau"/>
    <s v="Office Materials"/>
    <s v="Office"/>
    <n v="62500"/>
    <n v="107.89795788008998"/>
    <n v="579.25099999999998"/>
    <s v="Abraham"/>
    <s v="CA-M-R10"/>
    <s v="PALF"/>
    <x v="1"/>
    <s v="Congo"/>
    <m/>
    <m/>
    <m/>
  </r>
  <r>
    <x v="52"/>
    <s v="Reglement loyer du mois de Février 2025/3654804"/>
    <s v="Rent &amp; Utilities"/>
    <s v="Office"/>
    <n v="500000"/>
    <n v="863.18366304071981"/>
    <n v="579.25099999999998"/>
    <s v="BCI"/>
    <s v="BQ-M-R1"/>
    <s v="PALF"/>
    <x v="1"/>
    <s v="Congo"/>
    <m/>
    <m/>
    <m/>
  </r>
  <r>
    <x v="52"/>
    <s v="Paiement salaire du mois de Février 2025/FOUMBA Roderlin/3654808"/>
    <s v="Personnel"/>
    <s v="Legal"/>
    <n v="200000"/>
    <n v="345.27346521628795"/>
    <n v="579.25099999999998"/>
    <s v="BCI"/>
    <s v="BQ-M-R2"/>
    <s v="PALF"/>
    <x v="1"/>
    <s v="Congo"/>
    <m/>
    <m/>
    <m/>
  </r>
  <r>
    <x v="52"/>
    <s v="Paiement salaire du mois de Février 2025/BOUNGOU MAKOSSO Abraham"/>
    <s v="Personnel"/>
    <s v="Legal"/>
    <n v="200000"/>
    <n v="345.27346521628795"/>
    <n v="579.25099999999998"/>
    <s v="BCI"/>
    <s v="BQ-M-R3"/>
    <s v="PALF"/>
    <x v="1"/>
    <s v="Congo"/>
    <m/>
    <m/>
    <m/>
  </r>
  <r>
    <x v="52"/>
    <s v="Paiement salaire du mois de Février 2025/LOUNDOU JeanRomain/3654807"/>
    <s v="Personnel"/>
    <s v="Legal"/>
    <n v="200000"/>
    <n v="345.27346521628795"/>
    <n v="579.25099999999998"/>
    <s v="BCI"/>
    <s v="BQ-M-R4"/>
    <s v="PALF"/>
    <x v="1"/>
    <s v="Congo"/>
    <m/>
    <m/>
    <m/>
  </r>
  <r>
    <x v="52"/>
    <s v="Paiement salaire du mois de Février 2025/Crepin IBOUILI-IBOUILI"/>
    <s v="Personnel"/>
    <s v="Legal"/>
    <n v="551482"/>
    <n v="952.06050572204458"/>
    <n v="579.25099999999998"/>
    <s v="BCI"/>
    <s v="BQ-M-R5"/>
    <s v="PALF"/>
    <x v="1"/>
    <s v="Congo"/>
    <m/>
    <m/>
    <m/>
  </r>
  <r>
    <x v="52"/>
    <s v="Paiement salaire du mois de Février 2025/Merveille MAHANGA"/>
    <s v="Personnel"/>
    <s v="Office"/>
    <n v="384789"/>
    <n v="664.2871570355511"/>
    <n v="579.25099999999998"/>
    <s v="BCI"/>
    <s v="BQ-M-R6"/>
    <s v="PALF"/>
    <x v="1"/>
    <s v="Congo"/>
    <m/>
    <m/>
    <m/>
  </r>
  <r>
    <x v="52"/>
    <s v="Paiement salaire du mois de Février 2025/Evariste LELOUSSI"/>
    <s v="Personnel"/>
    <s v="Media"/>
    <n v="238140"/>
    <n v="411.11711503303405"/>
    <n v="579.25099999999998"/>
    <s v="BCI"/>
    <s v="BQ-M-R7"/>
    <s v="PALF"/>
    <x v="1"/>
    <s v="Congo"/>
    <m/>
    <m/>
    <m/>
  </r>
  <r>
    <x v="52"/>
    <s v="Reglement honoraire du mois de Février 2025/T73/3654813"/>
    <s v="Personnel"/>
    <s v="Investigations"/>
    <n v="405000"/>
    <n v="699.17876706298307"/>
    <n v="579.25099999999998"/>
    <s v="BCI"/>
    <s v="BQ-M-R8"/>
    <s v="PALF"/>
    <x v="1"/>
    <s v="Congo"/>
    <m/>
    <m/>
    <m/>
  </r>
  <r>
    <x v="52"/>
    <s v="Reglement honoraire du mois de Février 2025/P29/3654814"/>
    <s v="Personnel"/>
    <s v="Investigations"/>
    <n v="460000"/>
    <n v="794.12896999746226"/>
    <n v="579.25099999999998"/>
    <s v="BCI"/>
    <s v="BQ-M-R9"/>
    <s v="PALF"/>
    <x v="1"/>
    <s v="Congo"/>
    <m/>
    <m/>
    <m/>
  </r>
  <r>
    <x v="52"/>
    <s v="Reglement honoraire du mois de Février 2025/IT87/3654815"/>
    <s v="Personnel"/>
    <s v="Investigations"/>
    <n v="255000"/>
    <n v="440.22366815076714"/>
    <n v="579.25099999999998"/>
    <s v="BCI"/>
    <s v="BQ-M-R10"/>
    <s v="PALF"/>
    <x v="1"/>
    <s v="Congo"/>
    <m/>
    <m/>
    <m/>
  </r>
  <r>
    <x v="52"/>
    <s v="Reglement honoraire du mois de Février 2025/G12/3654816"/>
    <s v="Personnel"/>
    <s v="Investigations"/>
    <n v="255000"/>
    <n v="440.22366815076714"/>
    <n v="579.25099999999998"/>
    <s v="BCI"/>
    <s v="BQ-M-R11"/>
    <s v="PALF"/>
    <x v="1"/>
    <s v="Congo"/>
    <m/>
    <m/>
    <m/>
  </r>
  <r>
    <x v="52"/>
    <s v="Reglement Facture Gardiennage Mois de Février 2025/3654817"/>
    <s v="Services"/>
    <s v="Office"/>
    <n v="260000"/>
    <n v="448.85550478117432"/>
    <n v="579.25099999999998"/>
    <s v="BCI"/>
    <s v="BQ-M-R12"/>
    <s v="PALF"/>
    <x v="1"/>
    <s v="Congo"/>
    <m/>
    <m/>
    <m/>
  </r>
  <r>
    <x v="52"/>
    <s v="Frais de virement salaire février 2025"/>
    <s v="Bank fees"/>
    <s v="Office"/>
    <n v="10665"/>
    <n v="18.411707532658554"/>
    <n v="579.25099999999998"/>
    <s v="BCI"/>
    <s v="BQ-M-R13"/>
    <s v="PALF"/>
    <x v="1"/>
    <s v="Congo"/>
    <m/>
    <m/>
    <m/>
  </r>
  <r>
    <x v="52"/>
    <s v="Acompte honoraire contrat N°64_Dolisie cas NZETSI BIMOKO et Consorts/Maitre Marie Hélène NANITELAMIO MALONGA"/>
    <s v="Lawyer Fees"/>
    <s v="Legal"/>
    <n v="300000"/>
    <n v="517.91019782443186"/>
    <n v="579.25099999999998"/>
    <s v="BCI"/>
    <s v="BQ-M-R14"/>
    <s v="PALF"/>
    <x v="1"/>
    <s v="Congo"/>
    <m/>
    <m/>
    <m/>
  </r>
  <r>
    <x v="53"/>
    <s v="Bonus à un informateur en RDC "/>
    <s v="Trust Building"/>
    <s v="Investigations"/>
    <n v="30000"/>
    <n v="51.791019782443193"/>
    <n v="579.25099999999998"/>
    <s v="DOVI"/>
    <s v="CA-M-R12"/>
    <s v="PALF"/>
    <x v="1"/>
    <s v="Congo"/>
    <m/>
    <m/>
    <m/>
  </r>
  <r>
    <x v="53"/>
    <s v="Cumul frais de transport local du mois de Mars 2025/Merveille"/>
    <s v="Transport"/>
    <s v="Office"/>
    <n v="9900"/>
    <n v="17.091036528206253"/>
    <n v="579.25099999999998"/>
    <s v="Merveille"/>
    <s v="M-M-D1"/>
    <s v="PALF"/>
    <x v="1"/>
    <s v="Congo"/>
    <m/>
    <m/>
    <m/>
  </r>
  <r>
    <x v="53"/>
    <s v="Paiement salaire des jours travaillés en février 2025/Parfaite"/>
    <s v="Personnel"/>
    <s v="Office"/>
    <n v="131428"/>
    <n v="226.89300493223146"/>
    <n v="579.25099999999998"/>
    <s v="Merveille"/>
    <s v="CA-M-R11"/>
    <s v="PALF"/>
    <x v="1"/>
    <s v="Congo"/>
    <m/>
    <m/>
    <m/>
  </r>
  <r>
    <x v="53"/>
    <s v="Frais de transport mission maitre Marie Helène à Owando du 05 au 07/03/2025 suivi audience cas EBI"/>
    <s v="Transport"/>
    <s v="Legal"/>
    <n v="20000"/>
    <n v="34.527346521628793"/>
    <n v="579.25099999999998"/>
    <s v="Merveille"/>
    <s v="CA-M-R16"/>
    <s v="PALF"/>
    <x v="1"/>
    <s v="Congo"/>
    <m/>
    <m/>
    <m/>
  </r>
  <r>
    <x v="53"/>
    <s v="Ration et frais d'hotel mission maitre Marie Helène à Owando du 05 au 07/03/2025 suivi audience cas EBI"/>
    <s v="Travel Subsistence"/>
    <s v="Legal"/>
    <n v="50000"/>
    <n v="86.318366304071986"/>
    <n v="579.25099999999998"/>
    <s v="Merveille"/>
    <s v="CA-M-R17"/>
    <s v="PALF"/>
    <x v="1"/>
    <s v="Congo"/>
    <m/>
    <m/>
    <m/>
  </r>
  <r>
    <x v="53"/>
    <s v="Bonus du mois de Janvier 2025/Crepin"/>
    <s v="Personnel"/>
    <s v="Legal"/>
    <n v="30000"/>
    <n v="51.791019782443193"/>
    <n v="579.25099999999998"/>
    <s v="Merveille"/>
    <s v="CA-M-D10"/>
    <s v="PALF"/>
    <x v="1"/>
    <s v="Congo"/>
    <m/>
    <m/>
    <m/>
  </r>
  <r>
    <x v="53"/>
    <s v="Bonus operation du 24/02/2025 à Owando/Crepin"/>
    <s v="Bonus"/>
    <s v="Operations"/>
    <n v="50000"/>
    <n v="86.318366304071986"/>
    <n v="579.25099999999998"/>
    <s v="Merveille"/>
    <s v="CA-M-D11"/>
    <s v="PALF"/>
    <x v="1"/>
    <s v="Congo"/>
    <m/>
    <m/>
    <m/>
  </r>
  <r>
    <x v="53"/>
    <s v="Frais de transfert d'argent à Romain et Crepin"/>
    <s v="Transfer Fees"/>
    <s v="Office"/>
    <n v="8700"/>
    <n v="15.019395736908526"/>
    <n v="579.25099999999998"/>
    <s v="Parfaite"/>
    <s v="CA-M-R14"/>
    <s v="PALF"/>
    <x v="1"/>
    <s v="Congo"/>
    <m/>
    <m/>
    <m/>
  </r>
  <r>
    <x v="53"/>
    <s v="Complement frais de mission maitre Banzouzi du 04 au 08/03/3035 à Owando"/>
    <s v="Travel Subsistence"/>
    <s v="Legal"/>
    <n v="100000"/>
    <n v="172.63673260814397"/>
    <n v="579.25099999999998"/>
    <s v="Parfaite"/>
    <s v="CA-M-R15"/>
    <s v="PALF"/>
    <x v="1"/>
    <s v="Congo"/>
    <m/>
    <m/>
    <m/>
  </r>
  <r>
    <x v="53"/>
    <s v="payement frais d'inscription et mensuel pour la formation en anglais"/>
    <s v="Personnel"/>
    <s v="Team Building"/>
    <n v="65000"/>
    <n v="112.21387619529358"/>
    <n v="579.25099999999998"/>
    <s v="T73"/>
    <s v="T73-M-R1"/>
    <s v="PALF"/>
    <x v="1"/>
    <s v="Congo"/>
    <m/>
    <m/>
    <m/>
  </r>
  <r>
    <x v="53"/>
    <s v="ROMAIN-CONGO Ration du 04 au 08/03/2025 à Owando (04 Nuitées) "/>
    <s v="Travel Subsistence"/>
    <s v="Legal"/>
    <n v="40000"/>
    <n v="69.054693043257586"/>
    <n v="579.25099999999998"/>
    <s v="Romain"/>
    <s v="RM-M-D1"/>
    <s v="PALF"/>
    <x v="1"/>
    <s v="Congo"/>
    <m/>
    <m/>
    <m/>
  </r>
  <r>
    <x v="53"/>
    <s v="Frais de transfert d'argent en RDC"/>
    <s v="Transfer Fees"/>
    <s v="Office"/>
    <n v="1952"/>
    <n v="3.3698690205109703"/>
    <n v="579.25099999999998"/>
    <s v="Roderlin"/>
    <s v="CA-M-R13"/>
    <s v="PALF"/>
    <x v="1"/>
    <s v="Congo"/>
    <m/>
    <m/>
    <m/>
  </r>
  <r>
    <x v="53"/>
    <s v="Bonus media portant sur l'interpellation de 2 Présumés trafiquants le 24/02/205 à Owando"/>
    <s v="Bonus to media officer"/>
    <s v="Media"/>
    <n v="148000"/>
    <n v="255.50236426005307"/>
    <n v="579.25099999999998"/>
    <s v="Evariste"/>
    <s v="CA-M-D9"/>
    <s v="PALF"/>
    <x v="1"/>
    <s v="Congo"/>
    <m/>
    <m/>
    <m/>
  </r>
  <r>
    <x v="54"/>
    <s v="CREPIN - CONGO Ration du du 05 au 08/03/2025  03 Nuitées  à Owando(03 Nuitées)"/>
    <s v="Travel Subsistence"/>
    <s v="Legal"/>
    <n v="30000"/>
    <n v="51.791019782443193"/>
    <n v="579.25099999999998"/>
    <s v="Crépin"/>
    <s v="CR-M-D1"/>
    <s v="PALF"/>
    <x v="1"/>
    <s v="Congo"/>
    <m/>
    <m/>
    <m/>
  </r>
  <r>
    <x v="55"/>
    <s v="Règlement loyer du mois de Février 2025/DOVI Coordinateur PALF "/>
    <s v="Personnel"/>
    <s v="Management"/>
    <n v="174625"/>
    <n v="301.46689431697143"/>
    <n v="579.25099999999998"/>
    <s v="DOVI"/>
    <s v="DH-M-R2"/>
    <s v="PALF"/>
    <x v="1"/>
    <s v="Congo"/>
    <m/>
    <m/>
    <m/>
  </r>
  <r>
    <x v="55"/>
    <s v="Bonus à un informateur en RDC"/>
    <s v="Trust Building"/>
    <s v="Investigations"/>
    <n v="30000"/>
    <n v="51.791019782443193"/>
    <n v="579.25099999999998"/>
    <s v="DOVI"/>
    <s v="CA-M-R18"/>
    <s v="PALF"/>
    <x v="1"/>
    <s v="Congo"/>
    <m/>
    <m/>
    <m/>
  </r>
  <r>
    <x v="55"/>
    <s v="Achat billet brazzaville - dolisie/G12"/>
    <s v="Transport"/>
    <s v="Investigations"/>
    <n v="7000"/>
    <n v="12.084571282570078"/>
    <n v="579.25099999999998"/>
    <s v="G12"/>
    <s v="G12-M-R1"/>
    <s v="PALF"/>
    <x v="1"/>
    <s v="Congo"/>
    <m/>
    <m/>
    <m/>
  </r>
  <r>
    <x v="55"/>
    <s v="Frais de transfert Bonus à un informateur en RDC"/>
    <s v="Transfer Fees"/>
    <s v="Office"/>
    <n v="1952"/>
    <n v="3.3698690205109703"/>
    <n v="579.25099999999998"/>
    <s v="Roderlin"/>
    <s v="CA-M-R19"/>
    <s v="PALF"/>
    <x v="1"/>
    <s v="Congo"/>
    <m/>
    <m/>
    <m/>
  </r>
  <r>
    <x v="56"/>
    <s v="Reparation de court -circuit électrique du bureau"/>
    <s v="Services"/>
    <s v="Office"/>
    <n v="20000"/>
    <n v="34.527346521628793"/>
    <n v="579.25099999999998"/>
    <s v="DOVI"/>
    <s v="CA-M-R20"/>
    <s v="PALF"/>
    <x v="1"/>
    <s v="Congo"/>
    <m/>
    <m/>
    <m/>
  </r>
  <r>
    <x v="56"/>
    <s v="G12 - GONGO Ration du 07 au 24/03/2025 à Dolisie et Madingou "/>
    <s v="Travel Subsistence"/>
    <s v="Investigations"/>
    <n v="170000"/>
    <n v="293.48244543384476"/>
    <n v="579.25099999999998"/>
    <s v="G12"/>
    <s v="G12-M-D1"/>
    <s v="PALF"/>
    <x v="1"/>
    <s v="Congo"/>
    <m/>
    <m/>
    <m/>
  </r>
  <r>
    <x v="56"/>
    <s v="RAPATRIEME01100 RAO00010768/CHENE"/>
    <s v="Grant"/>
    <m/>
    <m/>
    <n v="0"/>
    <n v="579.64599999999996"/>
    <s v="BCI"/>
    <s v="BQ-M-G1"/>
    <s v="PALF"/>
    <x v="1"/>
    <s v="Congo"/>
    <n v="17389380"/>
    <n v="30000"/>
    <m/>
  </r>
  <r>
    <x v="56"/>
    <s v="RAPATRIEME01100 RAO00010768/OAT"/>
    <s v="Grant"/>
    <m/>
    <m/>
    <n v="0"/>
    <n v="579.64599999999996"/>
    <s v="BCI"/>
    <s v="BQ-M-G2"/>
    <s v="PALF"/>
    <x v="3"/>
    <s v="Congo"/>
    <n v="2898230"/>
    <n v="5000"/>
    <m/>
  </r>
  <r>
    <x v="57"/>
    <s v="CREPIN-IBOULI CONGO Hébergement à l'hôtel Case Mbali d'Owando, 07 Nuitées du  01 au 08/03/2025 "/>
    <s v="Travel Subsistence"/>
    <s v="Legal"/>
    <n v="105000"/>
    <n v="181.14504369908531"/>
    <n v="579.64599999999996"/>
    <s v="Crépin"/>
    <s v="CR-M-R2"/>
    <s v="PALF"/>
    <x v="1"/>
    <s v="Congo"/>
    <m/>
    <m/>
    <m/>
  </r>
  <r>
    <x v="57"/>
    <s v="Billet: Owando-Brazaville/Crepin"/>
    <s v="Transport"/>
    <s v="Legal"/>
    <n v="7000"/>
    <n v="12.076336246605688"/>
    <n v="579.64599999999996"/>
    <s v="Crépin"/>
    <s v="CR-M-R3"/>
    <s v="PALF"/>
    <x v="1"/>
    <s v="Congo"/>
    <m/>
    <m/>
    <m/>
  </r>
  <r>
    <x v="57"/>
    <s v="ROMAIN - CONGO Frais d'hotel du 25/02/au 08/03/2025 à Owando"/>
    <s v="Travel Subsistence"/>
    <s v="Legal"/>
    <n v="165000"/>
    <n v="284.6564972414198"/>
    <n v="579.64599999999996"/>
    <s v="Romain"/>
    <s v="RM-M-R1"/>
    <s v="PALF"/>
    <x v="1"/>
    <s v="Congo"/>
    <m/>
    <m/>
    <m/>
  </r>
  <r>
    <x v="58"/>
    <s v="Bonus du mois de Février 2025/Romain"/>
    <s v="Personnel"/>
    <s v="Legal"/>
    <n v="30000"/>
    <n v="51.755726771167232"/>
    <n v="579.64599999999996"/>
    <s v="Merveille"/>
    <s v="CA-M-D12"/>
    <s v="PALF"/>
    <x v="1"/>
    <s v="Congo"/>
    <m/>
    <m/>
    <m/>
  </r>
  <r>
    <x v="58"/>
    <s v="Bonus operation du 24/02/2025 à Owando/Romain"/>
    <s v="Bonus"/>
    <s v="Operations"/>
    <n v="45000"/>
    <n v="77.633590156750856"/>
    <n v="579.64599999999996"/>
    <s v="Merveille"/>
    <s v="CA-M-D13"/>
    <s v="PALF"/>
    <x v="1"/>
    <s v="Congo"/>
    <m/>
    <m/>
    <m/>
  </r>
  <r>
    <x v="58"/>
    <s v="Achat billet Brazzaville-Dolisie/P29"/>
    <s v="Transport"/>
    <s v="Investigations"/>
    <n v="10000"/>
    <n v="17.251908923722411"/>
    <n v="579.64599999999996"/>
    <s v="P29"/>
    <s v="P29-M-R1"/>
    <s v="PALF"/>
    <x v="1"/>
    <s v="Congo"/>
    <m/>
    <m/>
    <m/>
  </r>
  <r>
    <x v="58"/>
    <s v="Cumul trust building du mois de Mars 2025/G12 "/>
    <s v="Trust Building"/>
    <s v="Investigations"/>
    <n v="16000"/>
    <n v="27.603054277955859"/>
    <n v="579.64599999999996"/>
    <s v="G12"/>
    <s v="G12-M-D2"/>
    <s v="PALF"/>
    <x v="1"/>
    <s v="Congo"/>
    <m/>
    <m/>
    <m/>
  </r>
  <r>
    <x v="58"/>
    <s v="Frais de transfert d'argent à G12"/>
    <s v="Transfer Fees"/>
    <s v="Office"/>
    <n v="4170"/>
    <n v="7.1940460211922455"/>
    <n v="579.64599999999996"/>
    <s v="Roderlin"/>
    <s v="CA-M-R21"/>
    <s v="PALF"/>
    <x v="1"/>
    <s v="Congo"/>
    <m/>
    <m/>
    <m/>
  </r>
  <r>
    <x v="58"/>
    <s v="Paiement Honoraire Me LOCKO/Mois de Janvier 2025/3654793"/>
    <s v="Lawyer Fees"/>
    <s v="Legal"/>
    <n v="150000"/>
    <n v="258.77863385583618"/>
    <n v="579.64599999999996"/>
    <s v="BCI"/>
    <s v="BQ-M-R15"/>
    <s v="PALF"/>
    <x v="1"/>
    <s v="Congo"/>
    <m/>
    <m/>
    <m/>
  </r>
  <r>
    <x v="58"/>
    <s v="Paiement Honoraire Me LOCKO/Mois de Février 2025/3654820"/>
    <s v="Lawyer Fees"/>
    <s v="Legal"/>
    <n v="150000"/>
    <n v="258.77863385583618"/>
    <n v="579.64599999999996"/>
    <s v="BCI"/>
    <s v="BQ-M-R16"/>
    <s v="PALF"/>
    <x v="1"/>
    <s v="Congo"/>
    <m/>
    <m/>
    <m/>
  </r>
  <r>
    <x v="58"/>
    <s v="Paiement salaire du mois de Février 2025/Homéfa DOVI/3654812"/>
    <s v="Personnel"/>
    <s v="Management"/>
    <n v="1311000"/>
    <n v="2261.725259900008"/>
    <n v="579.64599999999996"/>
    <s v="BCI"/>
    <s v="BQ-M-R17"/>
    <s v="PALF"/>
    <x v="1"/>
    <s v="Congo"/>
    <m/>
    <m/>
    <m/>
  </r>
  <r>
    <x v="59"/>
    <s v="Achat de 14 pagnes africain pour la JIF(08Mars)/Bureau PALF"/>
    <s v="Personnel"/>
    <s v="Team Building"/>
    <n v="112000"/>
    <n v="193.22137994569101"/>
    <n v="579.64599999999996"/>
    <s v="Parfaite"/>
    <s v="CA-M-R23"/>
    <s v="PALF"/>
    <x v="1"/>
    <s v="Congo"/>
    <m/>
    <m/>
    <m/>
  </r>
  <r>
    <x v="59"/>
    <s v="P29- CONGO Ration mission du 11 au 24/03/2025 à Dolisie et Madingou (13 Nuitées)"/>
    <s v="Travel Subsistence"/>
    <s v="Investigations"/>
    <n v="130000"/>
    <n v="224.27481600839135"/>
    <n v="579.64599999999996"/>
    <s v="P29"/>
    <s v="P29-M-D1"/>
    <s v="PALF"/>
    <x v="3"/>
    <s v="Congo"/>
    <m/>
    <m/>
    <m/>
  </r>
  <r>
    <x v="59"/>
    <s v="T73 - CONGO Ration du 11 au 18/03/2025 (07nuitées) à Djambala,Lékana et NGO"/>
    <s v="Travel Subsistence"/>
    <s v="Investigations"/>
    <n v="70000"/>
    <n v="120.76336246605688"/>
    <n v="579.64599999999996"/>
    <s v="T73"/>
    <s v="T73-M-D1"/>
    <s v="PALF"/>
    <x v="3"/>
    <s v="Congo"/>
    <m/>
    <m/>
    <m/>
  </r>
  <r>
    <x v="59"/>
    <s v="achat billet : Brazzaville - Djambala/T73"/>
    <s v="Transport"/>
    <s v="Investigations"/>
    <n v="6000"/>
    <n v="10.351145354233447"/>
    <n v="579.64599999999996"/>
    <s v="T73"/>
    <s v="T73-M-R2"/>
    <s v="PALF"/>
    <x v="3"/>
    <s v="Congo"/>
    <m/>
    <m/>
    <m/>
  </r>
  <r>
    <x v="59"/>
    <s v="IT87 - CONGO Ration du 11 au 18/03/2025 à Pointe-Noire et Nkayi "/>
    <s v="Travel Subsistence"/>
    <s v="Investigations"/>
    <n v="70000"/>
    <n v="120.76336246605688"/>
    <n v="579.64599999999996"/>
    <s v="IT87"/>
    <s v="IT87-M-D1"/>
    <s v="PALF"/>
    <x v="3"/>
    <s v="Congo"/>
    <m/>
    <m/>
    <m/>
  </r>
  <r>
    <x v="59"/>
    <s v="Achat billet Brazzaville - Pointe-Noire/ IT87"/>
    <s v="Transport"/>
    <s v="Investigations"/>
    <n v="12000"/>
    <n v="20.702290708466894"/>
    <n v="579.64599999999996"/>
    <s v="IT87"/>
    <s v="IT87-M-R1"/>
    <s v="PALF"/>
    <x v="3"/>
    <s v="Congo"/>
    <m/>
    <m/>
    <m/>
  </r>
  <r>
    <x v="59"/>
    <s v="Règlement facture électricité piode Janvier-Février2025/bureau PALF"/>
    <s v="Rent &amp; Utilities"/>
    <s v="Office"/>
    <n v="72102"/>
    <n v="124.38971372182333"/>
    <n v="579.64599999999996"/>
    <s v="Roderlin"/>
    <s v="CA-M-R22"/>
    <s v="PALF"/>
    <x v="3"/>
    <s v="Congo"/>
    <m/>
    <m/>
    <m/>
  </r>
  <r>
    <x v="59"/>
    <s v="Virement fonds à CJ"/>
    <s v="Grant"/>
    <m/>
    <n v="2107400"/>
    <n v="3635.6672865852611"/>
    <n v="579.64599999999996"/>
    <s v="BCI"/>
    <s v="BQ-M-G3"/>
    <s v="PALF"/>
    <x v="4"/>
    <s v="Congo"/>
    <m/>
    <m/>
    <m/>
  </r>
  <r>
    <x v="59"/>
    <s v="Frais de virement de fonds à CJ"/>
    <s v="Bank fees"/>
    <s v="Office"/>
    <n v="24268"/>
    <n v="41.866932576089546"/>
    <n v="579.64599999999996"/>
    <s v="BCI"/>
    <s v="BQ-M-R18"/>
    <s v="PALF"/>
    <x v="3"/>
    <s v="Congo"/>
    <m/>
    <m/>
    <m/>
  </r>
  <r>
    <x v="59"/>
    <s v="Paiement congé et jours travaillés en Mars 2025/Merveille MAHANGA"/>
    <s v="Personnel"/>
    <s v="Office"/>
    <n v="398693"/>
    <n v="687.82153245256598"/>
    <n v="579.64599999999996"/>
    <s v="BCI"/>
    <s v="BQ-M-R19"/>
    <s v="PALF"/>
    <x v="1"/>
    <s v="Congo"/>
    <m/>
    <m/>
    <m/>
  </r>
  <r>
    <x v="59"/>
    <s v="Frais de virement salaire Mervielle Mars 2025"/>
    <s v="Bank fees"/>
    <s v="Office"/>
    <n v="18255"/>
    <n v="31.493359740255261"/>
    <n v="579.64599999999996"/>
    <s v="BCI"/>
    <s v="BQ-M-R20"/>
    <s v="PALF"/>
    <x v="3"/>
    <s v="Congo"/>
    <m/>
    <m/>
    <m/>
  </r>
  <r>
    <x v="60"/>
    <s v="Achat produit d'entretien lait,sucre,javel,papier toilette,sucre,café/Bureau PALF "/>
    <s v="Office Materials"/>
    <s v="Office"/>
    <n v="56550"/>
    <n v="97.559544963650239"/>
    <n v="579.64599999999996"/>
    <s v="Parfaite"/>
    <s v="CA-M-R25"/>
    <s v="PALF"/>
    <x v="3"/>
    <s v="Congo"/>
    <m/>
    <m/>
    <m/>
  </r>
  <r>
    <x v="60"/>
    <s v="Achat credit téléphonique MTN pour Donald Roméo periode du 12 au 31/03/2025"/>
    <s v="Telephone"/>
    <s v="Legal"/>
    <n v="15000"/>
    <n v="25.877863385583616"/>
    <n v="579.64599999999996"/>
    <s v="Parfaite"/>
    <s v="CA-M-R26"/>
    <s v="PALF"/>
    <x v="3"/>
    <s v="Congo"/>
    <m/>
    <m/>
    <m/>
  </r>
  <r>
    <x v="60"/>
    <s v="T73 - CONGO Frais d'hotel du 11 au 12/03/2025 (01 nuitée ) à Djambala"/>
    <s v="Travel Subsistence"/>
    <s v="Investigations"/>
    <n v="15000"/>
    <n v="25.877863385583616"/>
    <n v="579.64599999999996"/>
    <s v="T73"/>
    <s v="T73-M-R3"/>
    <s v="PALF"/>
    <x v="3"/>
    <s v="Congo"/>
    <m/>
    <m/>
    <m/>
  </r>
  <r>
    <x v="60"/>
    <s v="achat billet : Djambala - Lékana/T73"/>
    <s v="Transport"/>
    <s v="Investigations"/>
    <n v="4000"/>
    <n v="6.9007635694889649"/>
    <n v="579.64599999999996"/>
    <s v="T73"/>
    <s v="T73-M-R4"/>
    <s v="PALF"/>
    <x v="3"/>
    <s v="Congo"/>
    <m/>
    <m/>
    <m/>
  </r>
  <r>
    <x v="60"/>
    <s v="Achat eau mineral 16 Litres/Bureau"/>
    <s v="Office Materials"/>
    <s v="Office"/>
    <n v="25000"/>
    <n v="43.129772309306027"/>
    <n v="579.64599999999996"/>
    <s v="Roderlin"/>
    <s v="CA-M-R24"/>
    <s v="PALF"/>
    <x v="3"/>
    <s v="Congo"/>
    <m/>
    <m/>
    <m/>
  </r>
  <r>
    <x v="61"/>
    <s v="Frais de transfert d'argent à G12"/>
    <s v="Transfer Fees"/>
    <s v="Office"/>
    <n v="1740"/>
    <n v="3.0018321527276997"/>
    <n v="579.64599999999996"/>
    <s v="Roderlin"/>
    <s v="CA-M-R27"/>
    <s v="PALF"/>
    <x v="3"/>
    <s v="Congo"/>
    <m/>
    <m/>
    <m/>
  </r>
  <r>
    <x v="62"/>
    <s v="T73 - CONGO Frais d'hotel du 12 au 14/03/2025 (02 nuitées ) à Lékana"/>
    <s v="Travel Subsistence"/>
    <s v="Investigations"/>
    <n v="30000"/>
    <n v="51.755726771167232"/>
    <n v="579.64599999999996"/>
    <s v="T73"/>
    <s v="T73-M-R5"/>
    <s v="PALF"/>
    <x v="3"/>
    <s v="Congo"/>
    <m/>
    <m/>
    <m/>
  </r>
  <r>
    <x v="62"/>
    <s v="achat billet : Lekana - Djambala/T73"/>
    <s v="Transport"/>
    <s v="Investigations"/>
    <n v="4000"/>
    <n v="6.9007635694889649"/>
    <n v="579.64599999999996"/>
    <s v="T73"/>
    <s v="T73-M-R6"/>
    <s v="PALF"/>
    <x v="3"/>
    <s v="Congo"/>
    <m/>
    <m/>
    <m/>
  </r>
  <r>
    <x v="62"/>
    <s v="Solde honoraire contrat N°81_Owando cas MONICK François/Maitre Marie Alain BAZOUNZI"/>
    <s v="Lawyer Fees"/>
    <s v="Legal"/>
    <n v="300000"/>
    <n v="517.55726771167235"/>
    <n v="579.64599999999996"/>
    <s v="BCI"/>
    <s v="BQ-M-R21"/>
    <s v="PALF"/>
    <x v="1"/>
    <s v="Congo"/>
    <m/>
    <m/>
    <m/>
  </r>
  <r>
    <x v="62"/>
    <s v="Acompte honoraire contrat N°82_Owando cas NGASSAKI Dany et ELOMBO Levy/Maitre Marie Alain BAZOUNZI"/>
    <s v="Lawyer Fees"/>
    <s v="Legal"/>
    <n v="200000"/>
    <n v="345.03817847444822"/>
    <n v="579.64599999999996"/>
    <s v="BCI"/>
    <s v="BQ-M-R22"/>
    <s v="PALF"/>
    <x v="1"/>
    <s v="Congo"/>
    <m/>
    <m/>
    <m/>
  </r>
  <r>
    <x v="63"/>
    <s v="T73 - CONGO Frais d'hotel du 14 au 15/03/2025 (01 nuitée ) à Djambala"/>
    <s v="Travel Subsistence"/>
    <s v="Investigations"/>
    <n v="15000"/>
    <n v="25.877863385583616"/>
    <n v="579.64599999999996"/>
    <s v="T73"/>
    <s v="T73-M-R7"/>
    <s v="PALF"/>
    <x v="3"/>
    <s v="Congo"/>
    <m/>
    <m/>
    <m/>
  </r>
  <r>
    <x v="63"/>
    <s v="achat billet : Djambala - Ngo/T73"/>
    <s v="Transport"/>
    <s v="Investigations"/>
    <n v="4000"/>
    <n v="6.9007635694889649"/>
    <n v="579.64599999999996"/>
    <s v="T73"/>
    <s v="T73-M-R8"/>
    <s v="PALF"/>
    <x v="3"/>
    <s v="Congo"/>
    <m/>
    <m/>
    <m/>
  </r>
  <r>
    <x v="64"/>
    <s v="Billet: Brazzaville-Dolisie/Crépin"/>
    <s v="Transport"/>
    <s v="Legal"/>
    <n v="10000"/>
    <n v="17.251908923722411"/>
    <n v="579.64599999999996"/>
    <s v="Crépin"/>
    <s v="CR-M-R4"/>
    <s v="PALF"/>
    <x v="3"/>
    <s v="Congo"/>
    <m/>
    <m/>
    <m/>
  </r>
  <r>
    <x v="64"/>
    <s v="IT87- CONGO Frais d'hôtel du 11 au 16/03/2025 à Pointe-Noire (05 nuitées)"/>
    <s v="Travel Subsistence"/>
    <s v="Investigations"/>
    <n v="75000"/>
    <n v="129.38931692791809"/>
    <n v="579.64599999999996"/>
    <s v="IT87"/>
    <s v="IT87-M-R2"/>
    <s v="PALF"/>
    <x v="3"/>
    <s v="Congo"/>
    <m/>
    <m/>
    <m/>
  </r>
  <r>
    <x v="64"/>
    <s v="Achat billet Pointe-Noire - Nkayi/ IT87"/>
    <s v="Transport"/>
    <s v="Investigations"/>
    <n v="7000"/>
    <n v="12.076336246605688"/>
    <n v="579.64599999999996"/>
    <s v="IT87"/>
    <s v="IT87-M-R3"/>
    <s v="PALF"/>
    <x v="3"/>
    <s v="Congo"/>
    <m/>
    <m/>
    <m/>
  </r>
  <r>
    <x v="64"/>
    <s v="Achat Billet Brazzaville-Dolisie/Romain"/>
    <s v="Transport"/>
    <s v="Legal"/>
    <n v="10000"/>
    <n v="17.251908923722411"/>
    <n v="579.64599999999996"/>
    <s v="Romain"/>
    <s v="RM-M-R2"/>
    <s v="PALF"/>
    <x v="3"/>
    <s v="Congo"/>
    <m/>
    <m/>
    <m/>
  </r>
  <r>
    <x v="64"/>
    <s v="Billet Brazzaville-Dolisie/Abraham"/>
    <s v="Transport"/>
    <s v="Legal"/>
    <n v="10000"/>
    <n v="17.251908923722411"/>
    <n v="579.64599999999996"/>
    <s v="Abraham"/>
    <s v="AB-M-R3"/>
    <s v="PALF"/>
    <x v="3"/>
    <s v="Congo"/>
    <m/>
    <m/>
    <m/>
  </r>
  <r>
    <x v="64"/>
    <s v="Achat billet Brazzaville-Dolisie/Donald-Roméo"/>
    <s v="Transport"/>
    <s v="Legal"/>
    <n v="10000"/>
    <n v="17.251908923722411"/>
    <n v="579.64599999999996"/>
    <s v="Donald-Romeo"/>
    <s v="DR-M-R1"/>
    <s v="PALF"/>
    <x v="3"/>
    <s v="Congo"/>
    <m/>
    <m/>
    <m/>
  </r>
  <r>
    <x v="64"/>
    <s v="Achat billet Brazzaville-Dolisie/Evariste "/>
    <s v="Transport"/>
    <s v="Operations"/>
    <n v="10000"/>
    <n v="17.251908923722411"/>
    <n v="579.64599999999996"/>
    <s v="Evariste"/>
    <s v="EV-M-R1"/>
    <s v="PALF"/>
    <x v="3"/>
    <s v="Congo"/>
    <m/>
    <m/>
    <m/>
  </r>
  <r>
    <x v="65"/>
    <s v="CREPIN - CONGO Ration  du 17/03/ au 05/04/2025 à Dolisie(19 Nuitées)"/>
    <s v="Travel Subsistence"/>
    <s v="Operations"/>
    <n v="190000"/>
    <n v="327.78626955072582"/>
    <n v="579.64599999999996"/>
    <s v="Crépin"/>
    <s v="CR-M-D2"/>
    <s v="PALF"/>
    <x v="1"/>
    <s v="Congo"/>
    <m/>
    <m/>
    <m/>
  </r>
  <r>
    <x v="65"/>
    <s v="Frais de transfert d'argent à P29 et G12"/>
    <s v="Transfer Fees"/>
    <s v="Office"/>
    <n v="12690"/>
    <n v="21.892672424203738"/>
    <n v="579.64599999999996"/>
    <s v="Parfaite"/>
    <s v="CA-M-R28"/>
    <s v="PALF"/>
    <x v="3"/>
    <s v="Congo"/>
    <m/>
    <m/>
    <m/>
  </r>
  <r>
    <x v="65"/>
    <s v="Achat credit  teléphonique MTN/PALF/Deuxième partie du mois de Mars2025/Management"/>
    <s v="Telephone"/>
    <s v="Management"/>
    <n v="20000"/>
    <n v="34.503817847444822"/>
    <n v="579.64599999999996"/>
    <s v="Parfaite"/>
    <s v="CA-M-R29"/>
    <s v="PALF"/>
    <x v="3"/>
    <s v="Congo"/>
    <m/>
    <m/>
    <m/>
  </r>
  <r>
    <x v="65"/>
    <s v="Achat credit  teléphonique MTN/PALF/Deuxième partie du mois de Mars 2025/Legal"/>
    <s v="Telephone"/>
    <s v="Legal"/>
    <n v="30000"/>
    <n v="51.755726771167232"/>
    <n v="579.64599999999996"/>
    <s v="Parfaite"/>
    <s v="CA-M-R30"/>
    <s v="PALF"/>
    <x v="3"/>
    <s v="Congo"/>
    <m/>
    <m/>
    <m/>
  </r>
  <r>
    <x v="65"/>
    <s v="Achat credit  teléphonique MTN/PALF/Deuxième partie du mois de Mars 2025/Investigation"/>
    <s v="Telephone"/>
    <s v="Investigations"/>
    <n v="55000"/>
    <n v="94.885499080473267"/>
    <n v="579.64599999999996"/>
    <s v="Parfaite"/>
    <s v="CA-M-R31"/>
    <s v="PALF"/>
    <x v="3"/>
    <s v="Congo"/>
    <m/>
    <m/>
    <m/>
  </r>
  <r>
    <x v="65"/>
    <s v="Achat credit  teléphonique MTN/PALF/deuxième partie du mois de Mars 2025/Media"/>
    <s v="Telephone"/>
    <s v="Media"/>
    <n v="10000"/>
    <n v="17.251908923722411"/>
    <n v="579.64599999999996"/>
    <s v="Parfaite"/>
    <s v="CA-M-R32"/>
    <s v="PALF"/>
    <x v="3"/>
    <s v="Congo"/>
    <m/>
    <m/>
    <m/>
  </r>
  <r>
    <x v="65"/>
    <s v="Achat credit  teléphonique Airtel/PALF/Deuxième partie du mois de Mars 2025/Legal"/>
    <s v="Telephone"/>
    <s v="Legal"/>
    <n v="10000"/>
    <n v="17.251908923722411"/>
    <n v="579.64599999999996"/>
    <s v="Parfaite"/>
    <s v="CA-M-R33"/>
    <s v="PALF"/>
    <x v="3"/>
    <s v="Congo"/>
    <m/>
    <m/>
    <m/>
  </r>
  <r>
    <x v="65"/>
    <s v="Achat credit  teléphonique Airtel/PALF/Deuxième partie du mois de Mars 2025/Investigation"/>
    <s v="Telephone"/>
    <s v="Investigations"/>
    <n v="5000"/>
    <n v="8.6259544618612054"/>
    <n v="579.64599999999996"/>
    <s v="Parfaite"/>
    <s v="CA-M-R34"/>
    <s v="PALF"/>
    <x v="3"/>
    <s v="Congo"/>
    <m/>
    <m/>
    <m/>
  </r>
  <r>
    <x v="65"/>
    <s v="ROMAIN-CONGO: Ration du 17 au 29 mars 2025 à Dolisie et Sibiti/ 12 Nuitées"/>
    <s v="Travel Subsistence"/>
    <s v="Legal"/>
    <n v="120000"/>
    <n v="207.02290708466893"/>
    <n v="579.64599999999996"/>
    <s v="Romain"/>
    <s v="RM-M-D2"/>
    <s v="PALF"/>
    <x v="3"/>
    <s v="Congo"/>
    <m/>
    <m/>
    <m/>
  </r>
  <r>
    <x v="65"/>
    <s v="ABRAHAM - CONGO Ration du 17/03/2025 au 26/03/2025 à Dolisie (09 Nuitées) "/>
    <s v="Travel Subsistence"/>
    <s v="Operations"/>
    <n v="90000"/>
    <n v="155.26718031350171"/>
    <n v="579.64599999999996"/>
    <s v="Abraham"/>
    <s v="AB-M-D1"/>
    <s v="PALF"/>
    <x v="3"/>
    <s v="Congo"/>
    <m/>
    <m/>
    <m/>
  </r>
  <r>
    <x v="65"/>
    <s v="Ration  du  17/03/ au 05/04/2025 à Dolisie"/>
    <s v="Travel Subsistence"/>
    <s v="Legal"/>
    <n v="190000"/>
    <n v="327.78626955072582"/>
    <n v="579.64599999999996"/>
    <s v="Donald-Romeo"/>
    <s v="DR-M-D1"/>
    <s v="PALF"/>
    <x v="1"/>
    <s v="Congo"/>
    <m/>
    <m/>
    <m/>
  </r>
  <r>
    <x v="65"/>
    <s v="EVARISTE - CONGO Ration du 17 au 26 mars 2025  à Dolisie/09 Nuitées"/>
    <s v="Travel Subsistence"/>
    <s v="Operations"/>
    <n v="90000"/>
    <n v="155.26718031350171"/>
    <n v="579.64599999999996"/>
    <s v="Evariste"/>
    <s v="EV-M-D1"/>
    <s v="PALF"/>
    <x v="3"/>
    <s v="Congo"/>
    <m/>
    <m/>
    <m/>
  </r>
  <r>
    <x v="66"/>
    <s v="T73 - CONGO Frais d'hotel du 15 au 18/03/2025 (03 nuitées ) à Ngo"/>
    <s v="Travel Subsistence"/>
    <s v="Investigations"/>
    <n v="45000"/>
    <n v="77.633590156750856"/>
    <n v="579.64599999999996"/>
    <s v="T73"/>
    <s v="T73-M-R9"/>
    <s v="PALF"/>
    <x v="3"/>
    <s v="Congo"/>
    <m/>
    <m/>
    <m/>
  </r>
  <r>
    <x v="66"/>
    <s v="achat billet : Ngo - Brazzaville/T73"/>
    <s v="Transport"/>
    <s v="Investigations"/>
    <n v="6000"/>
    <n v="10.351145354233447"/>
    <n v="579.64599999999996"/>
    <s v="T73"/>
    <s v="T73-M-R10"/>
    <s v="PALF"/>
    <x v="3"/>
    <s v="Congo"/>
    <m/>
    <m/>
    <m/>
  </r>
  <r>
    <x v="66"/>
    <s v="IT87- CONGO Frais d'hôtel  du 16 au 18/03/2025 à Nkayi ( 02 nuitées)"/>
    <s v="Travel Subsistence"/>
    <s v="Investigations"/>
    <n v="30000"/>
    <n v="51.755726771167232"/>
    <n v="579.64599999999996"/>
    <s v="IT87"/>
    <s v="IT87-M-R4"/>
    <s v="PALF"/>
    <x v="1"/>
    <s v="Congo"/>
    <m/>
    <m/>
    <m/>
  </r>
  <r>
    <x v="66"/>
    <s v="Achat billet Nkayi -Brazzaville/ IT87"/>
    <s v="Transport"/>
    <s v="Investigations"/>
    <n v="7000"/>
    <n v="12.076336246605688"/>
    <n v="579.64599999999996"/>
    <s v="IT87"/>
    <s v="IT87-M-R5"/>
    <s v="PALF"/>
    <x v="1"/>
    <s v="Congo"/>
    <m/>
    <m/>
    <m/>
  </r>
  <r>
    <x v="66"/>
    <s v="Achat billet Brazzaville-Owando/Roderlin"/>
    <s v="Transport"/>
    <s v="Legal"/>
    <n v="7000"/>
    <n v="12.076336246605688"/>
    <n v="579.64599999999996"/>
    <s v="Roderlin"/>
    <s v="RO-M-R1"/>
    <s v="PALF"/>
    <x v="1"/>
    <s v="Congo"/>
    <m/>
    <m/>
    <m/>
  </r>
  <r>
    <x v="66"/>
    <s v="Frais de transport mission maitre Marie Helène à Owando du 19 au 22/03/2025 suivi audience cas EBI "/>
    <s v="Transport"/>
    <s v="Legal"/>
    <n v="21000"/>
    <n v="36.229008739817061"/>
    <n v="579.64599999999996"/>
    <s v="Roderlin"/>
    <s v="CA-M-R35"/>
    <s v="PALF"/>
    <x v="1"/>
    <s v="Congo"/>
    <m/>
    <m/>
    <m/>
  </r>
  <r>
    <x v="66"/>
    <s v="Ration et Frais d'hôtel  mission maitre Marie Helène à Owando du 19 au 22/03/2025 suivi audience cas EBI "/>
    <s v="Travel Subsistence"/>
    <s v="Legal"/>
    <n v="75000"/>
    <n v="129.38931692791809"/>
    <n v="579.64599999999996"/>
    <s v="Roderlin"/>
    <s v="CA-M-R36"/>
    <s v="PALF"/>
    <x v="1"/>
    <s v="Congo"/>
    <m/>
    <m/>
    <m/>
  </r>
  <r>
    <x v="66"/>
    <s v="Frais de transport mission à Owando de maitre Alain du 19au 21/03/2025 suivi audience à Owando"/>
    <s v="Transport"/>
    <s v="Legal"/>
    <n v="21000"/>
    <n v="36.229008739817061"/>
    <n v="579.64599999999996"/>
    <s v="Roderlin"/>
    <s v="CA-M-R37"/>
    <s v="PALF"/>
    <x v="1"/>
    <s v="Congo"/>
    <m/>
    <m/>
    <m/>
  </r>
  <r>
    <x v="66"/>
    <s v="Ration et Frais d'hôtel mission à Owando de maitre Alain du 19 au 21/03/2025 suivi audience à Owando "/>
    <s v="Travel Subsistence"/>
    <s v="Legal"/>
    <n v="50000"/>
    <n v="86.259544618612054"/>
    <n v="579.64599999999996"/>
    <s v="Roderlin"/>
    <s v="CA-M-R38"/>
    <s v="PALF"/>
    <x v="1"/>
    <s v="Congo"/>
    <m/>
    <m/>
    <m/>
  </r>
  <r>
    <x v="67"/>
    <s v="CREPIN - CONGO  Frais d'hôtel à Dolisie du 17 au 19/03/2025, 02 Nuitées"/>
    <s v="Travel Subsistence"/>
    <s v="Operations"/>
    <n v="30000"/>
    <n v="51.755726771167232"/>
    <n v="579.64599999999996"/>
    <s v="Crépin"/>
    <s v="CR-M-R5"/>
    <s v="PALF"/>
    <x v="1"/>
    <s v="Congo"/>
    <m/>
    <m/>
    <m/>
  </r>
  <r>
    <x v="67"/>
    <s v="Frais de transfert d'argent à Crepin, Evariste, Abraham, Romain et Donald-Romeo"/>
    <s v="Transfer Fees"/>
    <s v="Office"/>
    <n v="19830"/>
    <n v="34.210535395741545"/>
    <n v="579.64599999999996"/>
    <s v="Parfaite"/>
    <s v="CA-M-R39"/>
    <s v="PALF"/>
    <x v="1"/>
    <s v="Congo"/>
    <m/>
    <m/>
    <m/>
  </r>
  <r>
    <x v="67"/>
    <s v="Achat 05 Cartouche d'encre  HP Laser noire et couleur 216A"/>
    <s v="Office Materials"/>
    <s v="Office"/>
    <n v="300000"/>
    <n v="517.55726771167235"/>
    <n v="579.64599999999996"/>
    <s v="Parfaite"/>
    <s v="CA-M-R40"/>
    <s v="PALF"/>
    <x v="1"/>
    <s v="Congo"/>
    <m/>
    <m/>
    <m/>
  </r>
  <r>
    <x v="67"/>
    <s v="P29 -CONGO Frais d'hotel du 11 au 19/03/2025 à Dolisie (08 Nuitées)"/>
    <s v="Travel Subsistence"/>
    <s v="Investigations"/>
    <n v="120000"/>
    <n v="207.02290708466893"/>
    <n v="579.64599999999996"/>
    <s v="P29"/>
    <s v="P29-M-R2"/>
    <s v="PALF"/>
    <x v="1"/>
    <s v="Congo"/>
    <m/>
    <m/>
    <m/>
  </r>
  <r>
    <x v="67"/>
    <s v="Achat sim/T73"/>
    <s v="Investigation materials"/>
    <s v="Investigations"/>
    <n v="10000"/>
    <n v="17.251908923722411"/>
    <n v="579.64599999999996"/>
    <s v="T73"/>
    <s v="T73-M-R11"/>
    <s v="PALF"/>
    <x v="1"/>
    <s v="Congo"/>
    <m/>
    <m/>
    <m/>
  </r>
  <r>
    <x v="67"/>
    <s v="RODERLIN-CONGO Ration du 19 au 22/03/2025 à Owando (03 nuitées)"/>
    <s v="Travel Subsistence"/>
    <s v="Legal"/>
    <n v="30000"/>
    <n v="51.755726771167232"/>
    <n v="579.64599999999996"/>
    <s v="Roderlin"/>
    <s v="RO-M-D1"/>
    <s v="PALF"/>
    <x v="1"/>
    <s v="Congo"/>
    <m/>
    <m/>
    <m/>
  </r>
  <r>
    <x v="68"/>
    <s v="Fonds envoyés à un informateur"/>
    <s v="Trust Building"/>
    <s v="Investigations"/>
    <n v="31000"/>
    <n v="53.480917663539472"/>
    <n v="579.64599999999996"/>
    <s v="DOVI"/>
    <s v="DH-M-R3"/>
    <s v="PALF"/>
    <x v="1"/>
    <s v="Congo"/>
    <m/>
    <m/>
    <m/>
  </r>
  <r>
    <x v="68"/>
    <s v="Frais de transfert d'argent par western union à l'informateur"/>
    <s v="Transfer Fees"/>
    <s v="Office"/>
    <n v="2017"/>
    <n v="3.4797100299148105"/>
    <n v="579.64599999999996"/>
    <s v="DOVI"/>
    <s v="DH-M-R4"/>
    <s v="PALF"/>
    <x v="1"/>
    <s v="Congo"/>
    <m/>
    <m/>
    <m/>
  </r>
  <r>
    <x v="68"/>
    <s v="Achat billet Brazzaville - Mouyondzi/ IT87"/>
    <s v="Transport"/>
    <s v="Investigations"/>
    <n v="6000"/>
    <n v="10.351145354233447"/>
    <n v="579.64599999999996"/>
    <s v="IT87"/>
    <s v="IT87-M-R6"/>
    <s v="PALF"/>
    <x v="1"/>
    <s v="Congo"/>
    <m/>
    <m/>
    <m/>
  </r>
  <r>
    <x v="68"/>
    <s v="Frais de transfert d'argent à P29 et G12"/>
    <s v="Transfer Fees"/>
    <s v="Office"/>
    <n v="6320"/>
    <n v="10.903206439792564"/>
    <n v="579.64599999999996"/>
    <s v="G12"/>
    <s v="CA-M-R41"/>
    <s v="PALF"/>
    <x v="1"/>
    <s v="Congo"/>
    <m/>
    <m/>
    <m/>
  </r>
  <r>
    <x v="69"/>
    <s v="Frais de transfert d'argent à Crepin, Evariste, Abraham, Romain et Donald-Romeo"/>
    <s v="Transfer Fees"/>
    <s v="Office"/>
    <n v="14640"/>
    <n v="25.256794664329611"/>
    <n v="579.64599999999996"/>
    <s v="Parfaite"/>
    <s v="CA-M-R42"/>
    <s v="PALF"/>
    <x v="1"/>
    <s v="Congo"/>
    <m/>
    <m/>
    <m/>
  </r>
  <r>
    <x v="69"/>
    <s v="T73 - CONGO Rattion  du 21 au 28/03/2025 à Pointe-Noire,Moukondo,Banda  (07nuitées)"/>
    <s v="Travel Subsistence"/>
    <s v="Investigations"/>
    <n v="70000"/>
    <n v="120.76336246605688"/>
    <n v="579.64599999999996"/>
    <s v="T73"/>
    <s v="T73-M-D2"/>
    <s v="PALF"/>
    <x v="1"/>
    <s v="Congo"/>
    <m/>
    <m/>
    <m/>
  </r>
  <r>
    <x v="69"/>
    <s v="achat billet  Bazzaville - Pointe noire/T73"/>
    <s v="Transport"/>
    <s v="Investigations"/>
    <n v="9000"/>
    <n v="15.526718031350169"/>
    <n v="579.64599999999996"/>
    <s v="T73"/>
    <s v="T73-M-R12"/>
    <s v="PALF"/>
    <x v="1"/>
    <s v="Congo"/>
    <m/>
    <m/>
    <m/>
  </r>
  <r>
    <x v="69"/>
    <s v="IT87 - CONGO Ration  du 21 au 28/03/2025 à Mouyonzi et Bouansa "/>
    <s v="Travel Subsistence"/>
    <s v="Investigations"/>
    <n v="70000"/>
    <n v="120.76336246605688"/>
    <n v="579.64599999999996"/>
    <s v="IT87"/>
    <s v="IT87-M-D2"/>
    <s v="PALF"/>
    <x v="1"/>
    <s v="Congo"/>
    <m/>
    <m/>
    <m/>
  </r>
  <r>
    <x v="69"/>
    <s v="Achat billet Owando- Brazzaville /Roderlin"/>
    <s v="Transport"/>
    <s v="Legal"/>
    <n v="7000"/>
    <n v="12.076336246605688"/>
    <n v="579.64599999999996"/>
    <s v="Roderlin"/>
    <s v="RO-M-R2"/>
    <s v="PALF"/>
    <x v="1"/>
    <s v="Congo"/>
    <m/>
    <m/>
    <m/>
  </r>
  <r>
    <x v="70"/>
    <s v="Raffraichissement et plats pendant l'attente de l'opération"/>
    <s v="Travel Subsistence"/>
    <s v="Operations"/>
    <n v="11800"/>
    <n v="20.357252529992444"/>
    <n v="579.64599999999996"/>
    <s v="Crépin"/>
    <s v="CR-M-R6"/>
    <s v="PALF"/>
    <x v="1"/>
    <s v="Congo"/>
    <m/>
    <m/>
    <m/>
  </r>
  <r>
    <x v="70"/>
    <s v="Cumul frait de trust building du mois de Mars 2025/P29"/>
    <s v="Trust Building"/>
    <s v="Investigations"/>
    <n v="90100"/>
    <n v="155.43969940273894"/>
    <n v="579.64599999999996"/>
    <s v="P29"/>
    <s v="P29-M-D2"/>
    <s v="PALF"/>
    <x v="1"/>
    <s v="Congo"/>
    <m/>
    <m/>
    <m/>
  </r>
  <r>
    <x v="70"/>
    <s v="Location vehicule 1 pour extraction  de BS à l'aeroport/P29"/>
    <s v="Transport"/>
    <s v="Investigations"/>
    <n v="15000"/>
    <n v="25.877863385583616"/>
    <n v="579.64599999999996"/>
    <s v="P29"/>
    <s v="P29-M-R3"/>
    <s v="PALF"/>
    <x v="1"/>
    <s v="Congo"/>
    <m/>
    <m/>
    <m/>
  </r>
  <r>
    <x v="70"/>
    <s v="Location vehicule 2 pour extraction  de  l'aeroport à tsila/P29"/>
    <s v="Transport"/>
    <s v="Investigations"/>
    <n v="15000"/>
    <n v="25.877863385583616"/>
    <n v="579.64599999999996"/>
    <s v="P29"/>
    <s v="P29-M-R4"/>
    <s v="PALF"/>
    <x v="1"/>
    <s v="Congo"/>
    <m/>
    <m/>
    <m/>
  </r>
  <r>
    <x v="70"/>
    <s v="Location véhicule pour extraction Dolisie-Madingou/P29"/>
    <s v="Transport"/>
    <s v="Investigations"/>
    <n v="50000"/>
    <n v="86.259544618612054"/>
    <n v="579.64599999999996"/>
    <s v="P29"/>
    <s v="P29-M-R5"/>
    <s v="PALF"/>
    <x v="1"/>
    <s v="Congo"/>
    <m/>
    <m/>
    <m/>
  </r>
  <r>
    <x v="70"/>
    <s v="Achat billet madingou-brazzaville/P29"/>
    <s v="Transport"/>
    <s v="Investigations"/>
    <n v="7000"/>
    <n v="12.076336246605688"/>
    <n v="579.64599999999996"/>
    <s v="P29"/>
    <s v="P29-M-R6"/>
    <s v="PALF"/>
    <x v="1"/>
    <s v="Congo"/>
    <m/>
    <m/>
    <m/>
  </r>
  <r>
    <x v="70"/>
    <s v="G12 - CONGO Frais d'hotel du 07 au 22/03/2025 à Dolisie (15 Nuitées) "/>
    <s v="Travel Subsistence"/>
    <s v="Investigations"/>
    <n v="225000"/>
    <n v="388.16795078375424"/>
    <n v="579.64599999999996"/>
    <s v="G12"/>
    <s v="G12-M-R2"/>
    <s v="PALF"/>
    <x v="1"/>
    <s v="Congo"/>
    <m/>
    <m/>
    <m/>
  </r>
  <r>
    <x v="70"/>
    <s v="Achat billet Madingou - brazzaville/G12"/>
    <s v="Transport"/>
    <s v="Investigations"/>
    <n v="7000"/>
    <n v="12.076336246605688"/>
    <n v="579.64599999999996"/>
    <s v="G12"/>
    <s v="G12-M-R3"/>
    <s v="PALF"/>
    <x v="1"/>
    <s v="Congo"/>
    <m/>
    <m/>
    <m/>
  </r>
  <r>
    <x v="70"/>
    <s v="Rafraichissement en attente opération "/>
    <s v="Travel Subsistence"/>
    <s v="Operations"/>
    <n v="9600"/>
    <n v="16.561832566773514"/>
    <n v="579.64599999999996"/>
    <s v="Romain"/>
    <s v="RM-M-R3"/>
    <s v="PALF"/>
    <x v="1"/>
    <s v="Congo"/>
    <m/>
    <m/>
    <m/>
  </r>
  <r>
    <x v="70"/>
    <s v="Rafraîchissement attente OP"/>
    <s v="Travel Subsistence"/>
    <s v="Operations"/>
    <n v="8900"/>
    <n v="15.354198942112946"/>
    <n v="579.64599999999996"/>
    <s v="Abraham"/>
    <s v="AB-M-R4"/>
    <s v="PALF"/>
    <x v="1"/>
    <s v="Congo"/>
    <m/>
    <m/>
    <m/>
  </r>
  <r>
    <x v="70"/>
    <s v="RODERLIN-CONGO frais d'hôtel du 19 au 22/03/2025 à Owando (03 nuitées)"/>
    <s v="Travel Subsistence"/>
    <s v="Legal"/>
    <n v="45000"/>
    <n v="77.633590156750856"/>
    <n v="579.64599999999996"/>
    <s v="Roderlin"/>
    <s v="RO-M-R3"/>
    <s v="PALF"/>
    <x v="3"/>
    <s v="Congo"/>
    <m/>
    <m/>
    <m/>
  </r>
  <r>
    <x v="70"/>
    <s v="Achat carburant BJ OP"/>
    <s v="Transport"/>
    <s v="Operations"/>
    <n v="25000"/>
    <n v="43.129772309306027"/>
    <n v="579.64599999999996"/>
    <s v="Donald-Romeo"/>
    <s v="DR-M-R2"/>
    <s v="PALF"/>
    <x v="3"/>
    <s v="Congo"/>
    <m/>
    <m/>
    <m/>
  </r>
  <r>
    <x v="70"/>
    <s v="Raffraichissement OP  à Owando/10  gendarmes et moi"/>
    <s v="Travel Subsistence"/>
    <s v="Legal"/>
    <n v="19200"/>
    <n v="33.123665133547028"/>
    <n v="579.64599999999996"/>
    <s v="Donald-Romeo"/>
    <s v="DR-M-R3"/>
    <s v="PALF"/>
    <x v="3"/>
    <s v="Congo"/>
    <m/>
    <m/>
    <m/>
  </r>
  <r>
    <x v="70"/>
    <s v="Rafraichissement de mon équipe lors de l'opération"/>
    <s v="Travel Subsistence"/>
    <s v="Operations"/>
    <n v="9600"/>
    <n v="16.561832566773514"/>
    <n v="579.64599999999996"/>
    <s v="Evariste"/>
    <s v="EV-M-R2"/>
    <s v="PALF"/>
    <x v="3"/>
    <s v="Congo"/>
    <m/>
    <m/>
    <m/>
  </r>
  <r>
    <x v="71"/>
    <s v="P29 -CONGO Frais d'hotel du 19 au 23/03/2025 à Dolisie lieu op(P29) (04 Nuitées)"/>
    <s v="Travel Subsistence"/>
    <s v="Operations"/>
    <n v="140000"/>
    <n v="241.52672493211375"/>
    <n v="579.64599999999996"/>
    <s v="P29"/>
    <s v="P29-M-R7"/>
    <s v="PALF"/>
    <x v="3"/>
    <s v="Congo"/>
    <m/>
    <m/>
    <m/>
  </r>
  <r>
    <x v="71"/>
    <s v="P29 -CONGO Frais d'hotel du 19 au 23/03/2025 à Dolisie lieu op(Crépin) (04 Nuitées)"/>
    <s v="Travel Subsistence"/>
    <s v="Operations"/>
    <n v="140000"/>
    <n v="241.52672493211375"/>
    <n v="579.64599999999996"/>
    <s v="P29"/>
    <s v="P29-M-R8"/>
    <s v="PALF"/>
    <x v="3"/>
    <s v="Congo"/>
    <m/>
    <m/>
    <m/>
  </r>
  <r>
    <x v="72"/>
    <s v="Bonus de 18 gendarmes pour l'opération du 22/03/2025 à Dolisie"/>
    <s v="Bonus"/>
    <s v="Operations"/>
    <n v="180000"/>
    <n v="310.53436062700342"/>
    <n v="579.64599999999996"/>
    <s v="Crépin"/>
    <s v="CR-M-R7"/>
    <s v="PALF"/>
    <x v="1"/>
    <s v="Congo"/>
    <m/>
    <m/>
    <m/>
  </r>
  <r>
    <x v="72"/>
    <s v="Bonus de 02 EF pour l'opération du 22/03/2025 à Dolisie"/>
    <s v="Bonus"/>
    <s v="Operations"/>
    <n v="20000"/>
    <n v="34.503817847444822"/>
    <n v="579.64599999999996"/>
    <s v="Crépin"/>
    <s v="CR-M-R8"/>
    <s v="PALF"/>
    <x v="3"/>
    <s v="Congo"/>
    <m/>
    <m/>
    <m/>
  </r>
  <r>
    <x v="72"/>
    <s v="Frais de transfert d'argent  à crepin et IT87"/>
    <s v="Transfer Fees"/>
    <s v="Office"/>
    <n v="7780"/>
    <n v="13.421985142656036"/>
    <n v="579.64599999999996"/>
    <s v="Parfaite"/>
    <s v="CA-M-R44"/>
    <s v="PALF"/>
    <x v="1"/>
    <s v="Congo"/>
    <m/>
    <m/>
    <m/>
  </r>
  <r>
    <x v="72"/>
    <s v="Frais de transfert d'argent à  T73 par  momo"/>
    <s v="Transfer Fees"/>
    <s v="Office"/>
    <n v="6300"/>
    <n v="10.868702621945118"/>
    <n v="579.64599999999996"/>
    <s v="Parfaite"/>
    <s v="CA-M-R45"/>
    <s v="PALF"/>
    <x v="1"/>
    <s v="Congo"/>
    <m/>
    <m/>
    <m/>
  </r>
  <r>
    <x v="72"/>
    <s v="Frais de transport mission à Dolisie de maitre BANZOUZI Alain du 25/03/ au 05/04/2025 suivi audience"/>
    <s v="Transport"/>
    <s v="Legal"/>
    <n v="42000"/>
    <n v="72.458017479634123"/>
    <n v="579.64599999999996"/>
    <s v="Parfaite"/>
    <s v="CA-M-R46"/>
    <s v="PALF"/>
    <x v="3"/>
    <s v="Congo"/>
    <m/>
    <m/>
    <m/>
  </r>
  <r>
    <x v="72"/>
    <s v="P29 -CONGO Frais d'hotel du 22 au 24/03/2025 à Madingou (02 Nuitées)"/>
    <s v="Travel Subsistence"/>
    <s v="Investigations"/>
    <n v="30000"/>
    <n v="51.755726771167232"/>
    <n v="579.64599999999996"/>
    <s v="P29"/>
    <s v="P29-M-R9"/>
    <s v="PALF"/>
    <x v="3"/>
    <s v="Congo"/>
    <m/>
    <m/>
    <m/>
  </r>
  <r>
    <x v="72"/>
    <s v="Cumul frait de transport du mois de Mars 2025/P29"/>
    <s v="Transport"/>
    <s v="Investigations"/>
    <n v="68000"/>
    <n v="117.3129806813124"/>
    <n v="579.64599999999996"/>
    <s v="P29"/>
    <s v="P29-M-D3"/>
    <s v="PALF"/>
    <x v="3"/>
    <s v="Congo"/>
    <m/>
    <m/>
    <m/>
  </r>
  <r>
    <x v="72"/>
    <s v="achat billet Pointe Noire - Moukondo/T73"/>
    <s v="Transport"/>
    <s v="Investigations"/>
    <n v="5000"/>
    <n v="8.6259544618612054"/>
    <n v="579.64599999999996"/>
    <s v="T73"/>
    <s v="T73-M-R13"/>
    <s v="PALF"/>
    <x v="3"/>
    <s v="Congo"/>
    <m/>
    <m/>
    <m/>
  </r>
  <r>
    <x v="72"/>
    <s v="T73 - CONGO Frais d'hotel du 21 au 24/03/2025 (03 nuitées ) à Pointe noire"/>
    <s v="Travel Subsistence"/>
    <s v="Investigations"/>
    <n v="45000"/>
    <n v="77.633590156750856"/>
    <n v="579.64599999999996"/>
    <s v="T73"/>
    <s v="T73-M-R14"/>
    <s v="PALF"/>
    <x v="3"/>
    <s v="Congo"/>
    <m/>
    <m/>
    <m/>
  </r>
  <r>
    <x v="72"/>
    <s v="G12 - CONGO Frais d'hotel du 22 au 24/03/2025 à Madingou (02 Nuitées)"/>
    <s v="Travel Subsistence"/>
    <s v="Investigations"/>
    <n v="30000"/>
    <n v="51.755726771167232"/>
    <n v="579.64599999999996"/>
    <s v="G12"/>
    <s v="G12-M-R4"/>
    <s v="PALF"/>
    <x v="3"/>
    <s v="Congo"/>
    <m/>
    <m/>
    <m/>
  </r>
  <r>
    <x v="72"/>
    <s v="Achat produit d'entretien  et Main d'œuvre du groupe électrogène/Bureau PALF"/>
    <s v="Office Materials"/>
    <s v="Office"/>
    <n v="101000"/>
    <n v="174.24428012959635"/>
    <n v="579.64599999999996"/>
    <s v="Roderlin"/>
    <s v="CA-M-R43"/>
    <s v="PALF"/>
    <x v="3"/>
    <s v="Congo"/>
    <m/>
    <m/>
    <m/>
  </r>
  <r>
    <x v="72"/>
    <s v="Ration et frais d'hotel mission à Dolisie de maitre BANZOUZI Alain du 25/03/ au 05/04/2025 suivi audience "/>
    <s v="Travel Subsistence"/>
    <s v="Legal"/>
    <n v="275000"/>
    <n v="474.42749540236633"/>
    <n v="579.64599999999996"/>
    <s v="Roderlin"/>
    <s v="CA-M-R47"/>
    <s v="PALF"/>
    <x v="1"/>
    <s v="Congo"/>
    <m/>
    <m/>
    <m/>
  </r>
  <r>
    <x v="73"/>
    <s v="achat billet Moukondo - Banda/T73"/>
    <s v="Transport"/>
    <s v="Investigations"/>
    <n v="15000"/>
    <n v="25.877863385583616"/>
    <n v="579.64599999999996"/>
    <s v="T73"/>
    <s v="T73-M-R15"/>
    <s v="PALF"/>
    <x v="3"/>
    <s v="Congo"/>
    <m/>
    <m/>
    <m/>
  </r>
  <r>
    <x v="73"/>
    <s v="T73 - CONGO Frais d'hotel du 24 au 25/03/2025 (01nuitées) à Moukondo"/>
    <s v="Travel Subsistence"/>
    <s v="Investigations"/>
    <n v="15000"/>
    <n v="25.877863385583616"/>
    <n v="579.64599999999996"/>
    <s v="T73"/>
    <s v="T73-M-R16"/>
    <s v="PALF"/>
    <x v="3"/>
    <s v="Congo"/>
    <m/>
    <m/>
    <m/>
  </r>
  <r>
    <x v="73"/>
    <s v="achat carte sim "/>
    <s v="Investigation materials"/>
    <s v="Investigations"/>
    <n v="10000"/>
    <n v="17.251908923722411"/>
    <n v="579.64599999999996"/>
    <s v="G12"/>
    <s v="G12-M-R5"/>
    <s v="PALF"/>
    <x v="3"/>
    <s v="Congo"/>
    <m/>
    <m/>
    <m/>
  </r>
  <r>
    <x v="73"/>
    <s v="Frais de transfert d'argent à Crepin, Evariste, Abraham, Romain et Donald-Romeo"/>
    <s v="Transfer Fees"/>
    <s v="Office"/>
    <n v="11820"/>
    <n v="20.391756347839891"/>
    <n v="579.64599999999996"/>
    <s v="G12"/>
    <s v="CA-M-R48"/>
    <s v="PALF"/>
    <x v="3"/>
    <s v="Congo"/>
    <m/>
    <m/>
    <m/>
  </r>
  <r>
    <x v="74"/>
    <s v="Achat billet Dolisie-Brazzaville/Abraham"/>
    <s v="Transport"/>
    <s v="Legal"/>
    <n v="10000"/>
    <n v="17.251908923722411"/>
    <n v="579.64599999999996"/>
    <s v="Abraham"/>
    <s v="AB-M-R5"/>
    <s v="PALF"/>
    <x v="3"/>
    <s v="Congo"/>
    <m/>
    <m/>
    <m/>
  </r>
  <r>
    <x v="73"/>
    <s v="Cumul frais de Jails visits du mois de Mars 2025/Abraham"/>
    <s v="Jail visit"/>
    <s v="Legal"/>
    <n v="14000"/>
    <n v="24.152672493211377"/>
    <n v="579.64599999999996"/>
    <s v="Abraham"/>
    <s v="AB-M-D2"/>
    <s v="PALF"/>
    <x v="3"/>
    <s v="Congo"/>
    <m/>
    <m/>
    <m/>
  </r>
  <r>
    <x v="72"/>
    <s v="ABRAHAM - CONGO frais d'Hôtel (Hôtel La Gloire) du 17/03/2025 au 26/03/2025 Dolisie (09Nuitées)"/>
    <s v="Travel Subsistence"/>
    <s v="Legal"/>
    <n v="135000"/>
    <n v="232.90077047025255"/>
    <n v="579.64599999999996"/>
    <s v="Abraham"/>
    <s v="AB-M-R6"/>
    <s v="PALF"/>
    <x v="1"/>
    <s v="Congo"/>
    <m/>
    <m/>
    <m/>
  </r>
  <r>
    <x v="73"/>
    <s v="Achat carburant groupe electrogène Bureau"/>
    <s v="Office Materials"/>
    <s v="Office"/>
    <n v="25000"/>
    <n v="43.129772309306027"/>
    <n v="579.64599999999996"/>
    <s v="Roderlin"/>
    <s v="CA-M-R49"/>
    <s v="PALF"/>
    <x v="1"/>
    <s v="Congo"/>
    <m/>
    <m/>
    <m/>
  </r>
  <r>
    <x v="73"/>
    <s v="Paiement salaire du mois de Mars 2025/Homéfa DOVI/3654835"/>
    <s v="Personnel"/>
    <s v="Management"/>
    <n v="1311000"/>
    <n v="2261.725259900008"/>
    <n v="579.64599999999996"/>
    <s v="BCI"/>
    <s v="BQ-M-R23"/>
    <s v="PALF"/>
    <x v="1"/>
    <s v="Congo"/>
    <m/>
    <m/>
    <m/>
  </r>
  <r>
    <x v="73"/>
    <s v="Paiement salaire du mois de Mars 2025/BAVOUMINA NZOUSSI Dina Parfaite/365831"/>
    <s v="Personnel"/>
    <s v="Office"/>
    <n v="230000"/>
    <n v="396.79390524561546"/>
    <n v="579.64599999999996"/>
    <s v="BCI"/>
    <s v="BQ-M-R24"/>
    <s v="PALF"/>
    <x v="1"/>
    <s v="Congo"/>
    <m/>
    <m/>
    <m/>
  </r>
  <r>
    <x v="73"/>
    <s v="Paiement salaire du mois de Mars 2025/FOUMBA Roderlin/3654825"/>
    <s v="Personnel"/>
    <s v="Legal"/>
    <n v="200000"/>
    <n v="345.03817847444822"/>
    <n v="579.64599999999996"/>
    <s v="BCI"/>
    <s v="BQ-M-R25"/>
    <s v="PALF"/>
    <x v="1"/>
    <s v="Congo"/>
    <m/>
    <m/>
    <m/>
  </r>
  <r>
    <x v="73"/>
    <s v="Paiement salaire du mois de Mars 2025/BOUNGOU MAKOSSO Abraham/3654824"/>
    <s v="Personnel"/>
    <s v="Legal"/>
    <n v="200000"/>
    <n v="345.03817847444822"/>
    <n v="579.64599999999996"/>
    <s v="BCI"/>
    <s v="BQ-M-R26"/>
    <s v="PALF"/>
    <x v="1"/>
    <s v="Congo"/>
    <m/>
    <m/>
    <m/>
  </r>
  <r>
    <x v="73"/>
    <s v="Paiement salaire du mois de Mars 2025/LOUNDOU JeanRomain/3654832"/>
    <s v="Personnel"/>
    <s v="Legal"/>
    <n v="200000"/>
    <n v="345.03817847444822"/>
    <n v="579.64599999999996"/>
    <s v="BCI"/>
    <s v="BQ-M-R27"/>
    <s v="PALF"/>
    <x v="1"/>
    <s v="Congo"/>
    <m/>
    <m/>
    <m/>
  </r>
  <r>
    <x v="73"/>
    <s v="Paiement salaire du mois de Mars 2025/Crepin IBOUILI-IBOUILI"/>
    <s v="Personnel"/>
    <s v="Legal"/>
    <n v="551482"/>
    <n v="951.41172370722825"/>
    <n v="579.64599999999996"/>
    <s v="BCI"/>
    <s v="BQ-M-R28"/>
    <s v="PALF"/>
    <x v="1"/>
    <s v="Congo"/>
    <m/>
    <m/>
    <m/>
  </r>
  <r>
    <x v="73"/>
    <s v="Paiement salaire du mois de Mars 2025/Evariste LELOUSSI"/>
    <s v="Personnel"/>
    <s v="Media"/>
    <n v="238140"/>
    <n v="410.83695910952548"/>
    <n v="579.64599999999996"/>
    <s v="BCI"/>
    <s v="BQ-M-R29"/>
    <s v="PALF"/>
    <x v="1"/>
    <s v="Congo"/>
    <m/>
    <m/>
    <m/>
  </r>
  <r>
    <x v="73"/>
    <s v="Paiement salaire du mois de Mars 2025/PINDI BINGA Donald- Roméo"/>
    <s v="Personnel"/>
    <s v="Legal"/>
    <n v="193548"/>
    <n v="333.9072468368625"/>
    <n v="579.64599999999996"/>
    <s v="BCI"/>
    <s v="BQ-M-R30"/>
    <s v="PALF"/>
    <x v="1"/>
    <s v="Congo"/>
    <m/>
    <m/>
    <m/>
  </r>
  <r>
    <x v="74"/>
    <s v="Reglement prestation de nettoyage jardin PALF du mois de Février 2025"/>
    <s v="Services"/>
    <s v="Office"/>
    <n v="20000"/>
    <n v="34.503817847444822"/>
    <n v="579.64599999999996"/>
    <s v="Parfaite"/>
    <s v="CA-M-R50"/>
    <s v="PALF"/>
    <x v="1"/>
    <s v="Congo"/>
    <m/>
    <m/>
    <m/>
  </r>
  <r>
    <x v="74"/>
    <s v="IT87 - CONGO Frais d'hôtel  du 21 au 26/03/2025 à Mouyondzi (05 nuitées)"/>
    <s v="Travel Subsistence"/>
    <s v="Investigations"/>
    <n v="75000"/>
    <n v="129.38931692791809"/>
    <n v="579.64599999999996"/>
    <s v="IT87"/>
    <s v="IT87-M-R7"/>
    <s v="PALF"/>
    <x v="1"/>
    <s v="Congo"/>
    <m/>
    <m/>
    <m/>
  </r>
  <r>
    <x v="74"/>
    <s v="Achat billet Mouyondzi - Bouansa/ IT87"/>
    <s v="Transport"/>
    <s v="Investigations"/>
    <n v="3000"/>
    <n v="5.1755726771167234"/>
    <n v="579.64599999999996"/>
    <s v="IT87"/>
    <s v="IT87-M-R8"/>
    <s v="PALF"/>
    <x v="3"/>
    <s v="Congo"/>
    <m/>
    <m/>
    <m/>
  </r>
  <r>
    <x v="74"/>
    <s v="EVARISTE - CONGO Frais de l'hôtel du 17 au 26 mars 2025 à Dolisie (09 Nuitées)"/>
    <s v="Travel Subsistence"/>
    <s v="Operations"/>
    <n v="135000"/>
    <n v="232.90077047025255"/>
    <n v="579.64599999999996"/>
    <s v="Evariste"/>
    <s v="EV-M-R3"/>
    <s v="PALF"/>
    <x v="3"/>
    <s v="Congo"/>
    <m/>
    <m/>
    <m/>
  </r>
  <r>
    <x v="74"/>
    <s v="Achat Billet  Dolisie-Brazzaville/Evariste"/>
    <s v="Transport"/>
    <s v="Operations"/>
    <n v="10000"/>
    <n v="17.251908923722411"/>
    <n v="579.64599999999996"/>
    <s v="Evariste"/>
    <s v="EV-M-R4"/>
    <s v="PALF"/>
    <x v="3"/>
    <s v="Congo"/>
    <m/>
    <m/>
    <m/>
  </r>
  <r>
    <x v="74"/>
    <s v="Bonus media portant sur l'interpellation de 2 Présumés trafiquants le 22/03/205 à Dolisie"/>
    <s v="Bonus to media officer"/>
    <s v="Media"/>
    <n v="200000"/>
    <n v="345.03817847444822"/>
    <n v="579.64599999999996"/>
    <s v="Evariste"/>
    <s v="CA-M-D14"/>
    <s v="PALF"/>
    <x v="1"/>
    <s v="Congo"/>
    <m/>
    <m/>
    <m/>
  </r>
  <r>
    <x v="74"/>
    <s v="Frais de virement salaire du mois de Mars 2025"/>
    <s v="Bank fees"/>
    <s v="Office"/>
    <n v="52635"/>
    <n v="90.805422620012905"/>
    <n v="579.64599999999996"/>
    <s v="BCI"/>
    <s v="BQ-M-R32"/>
    <s v="PALF"/>
    <x v="3"/>
    <s v="Congo"/>
    <m/>
    <m/>
    <m/>
  </r>
  <r>
    <x v="75"/>
    <s v="T73 - CONGO Frais d'hotel du 25 au 27/03/20225 (02 nuitées) à Banda"/>
    <s v="Travel Subsistence"/>
    <s v="Investigations"/>
    <n v="30000"/>
    <n v="51.755726771167232"/>
    <n v="579.64599999999996"/>
    <s v="T73"/>
    <s v="T73-M-R17"/>
    <s v="PALF"/>
    <x v="3"/>
    <s v="Congo"/>
    <m/>
    <m/>
    <m/>
  </r>
  <r>
    <x v="75"/>
    <s v="achat billet/T73 : Banda - Loudima/T73"/>
    <s v="Transport"/>
    <s v="Investigations"/>
    <n v="15000"/>
    <n v="25.877863385583616"/>
    <n v="579.64599999999996"/>
    <s v="T73"/>
    <s v="T73-M-R18"/>
    <s v="PALF"/>
    <x v="3"/>
    <s v="Congo"/>
    <m/>
    <m/>
    <m/>
  </r>
  <r>
    <x v="75"/>
    <s v="Cumul frais de trust building du mois de Mars 2025/T73"/>
    <s v="Trust Building"/>
    <s v="Investigations"/>
    <n v="18000"/>
    <n v="31.053436062700339"/>
    <n v="579.64599999999996"/>
    <s v="T73"/>
    <s v="T73-M-D3"/>
    <s v="PALF"/>
    <x v="3"/>
    <s v="Congo"/>
    <m/>
    <m/>
    <m/>
  </r>
  <r>
    <x v="75"/>
    <s v="Achat du Billet Dolisie-Sibiti/Romain"/>
    <s v="Transport"/>
    <s v="Legal"/>
    <n v="8000"/>
    <n v="13.80152713897793"/>
    <n v="579.64599999999996"/>
    <s v="Romain"/>
    <s v="RM-M-R4"/>
    <s v="PALF"/>
    <x v="3"/>
    <s v="Congo"/>
    <m/>
    <m/>
    <m/>
  </r>
  <r>
    <x v="75"/>
    <s v="Frais d'impression de la procédure de la gendarmerie"/>
    <s v="Office Materials"/>
    <s v="Operations"/>
    <n v="28400"/>
    <n v="48.995421343371646"/>
    <n v="579.64599999999996"/>
    <s v="Donald-Romeo"/>
    <s v="DR-M-R4"/>
    <s v="PALF"/>
    <x v="3"/>
    <s v="Congo"/>
    <m/>
    <m/>
    <m/>
  </r>
  <r>
    <x v="76"/>
    <s v="ramassage Ordure du mois de Mars 2025/Bureau PALF"/>
    <s v="Services"/>
    <s v="Office"/>
    <n v="8000"/>
    <n v="13.80152713897793"/>
    <n v="579.64599999999996"/>
    <s v="Parfaite"/>
    <s v="CA-M-R51"/>
    <s v="PALF"/>
    <x v="3"/>
    <s v="Congo"/>
    <m/>
    <m/>
    <m/>
  </r>
  <r>
    <x v="76"/>
    <s v="Reglement prestation de nettoyage Bureau PALF du mois de Mars 2025"/>
    <s v="Services"/>
    <s v="Office"/>
    <n v="75625"/>
    <n v="130.46756123565072"/>
    <n v="579.64599999999996"/>
    <s v="Parfaite"/>
    <s v="CA-M-R53"/>
    <s v="PALF"/>
    <x v="3"/>
    <s v="Congo"/>
    <m/>
    <m/>
    <m/>
  </r>
  <r>
    <x v="76"/>
    <s v="T73 - CONGO Frais d'hotel du 24 au 25/03/2025 (01nuitées) à Loudima"/>
    <s v="Travel Subsistence"/>
    <s v="Investigations"/>
    <n v="15000"/>
    <n v="25.877863385583616"/>
    <n v="579.64599999999996"/>
    <s v="T73"/>
    <s v="T73-M-R19"/>
    <s v="PALF"/>
    <x v="3"/>
    <s v="Congo"/>
    <m/>
    <m/>
    <m/>
  </r>
  <r>
    <x v="76"/>
    <s v="achat billet Loudima - Brazzaville/T73"/>
    <s v="Transport"/>
    <s v="Investigations"/>
    <n v="7000"/>
    <n v="12.076336246605688"/>
    <n v="579.64599999999996"/>
    <s v="T73"/>
    <s v="T73-M-R20"/>
    <s v="PALF"/>
    <x v="1"/>
    <s v="Congo"/>
    <m/>
    <m/>
    <m/>
  </r>
  <r>
    <x v="76"/>
    <s v="IT87 - CONGO Frais d'hôtel du 26 au 28/03/2025 à Bouansa (02 nuitées)"/>
    <s v="Travel Subsistence"/>
    <s v="Investigations"/>
    <n v="30000"/>
    <n v="51.755726771167232"/>
    <n v="579.64599999999996"/>
    <s v="IT87"/>
    <s v="IT87-M-R9"/>
    <s v="PALF"/>
    <x v="1"/>
    <s v="Congo"/>
    <m/>
    <m/>
    <m/>
  </r>
  <r>
    <x v="76"/>
    <s v="Achat billet Bouansa - Brazzaville/ IT87"/>
    <s v="Transport"/>
    <s v="Investigations"/>
    <n v="7000"/>
    <n v="12.076336246605688"/>
    <n v="579.64599999999996"/>
    <s v="IT87"/>
    <s v="IT87-M-R10"/>
    <s v="PALF"/>
    <x v="1"/>
    <s v="Congo"/>
    <m/>
    <m/>
    <m/>
  </r>
  <r>
    <x v="76"/>
    <s v="Cumul frais de Jails visists du mois de Mars 2025/Romain"/>
    <s v="Jail visit"/>
    <s v="Legal"/>
    <n v="41500"/>
    <n v="71.595422033448003"/>
    <n v="579.64599999999996"/>
    <s v="Romain"/>
    <s v="RM-M-D3"/>
    <s v="PALF"/>
    <x v="1"/>
    <s v="Congo"/>
    <m/>
    <m/>
    <m/>
  </r>
  <r>
    <x v="76"/>
    <s v="Cumul frais de transport local du mois de Mars 2025/Abraham"/>
    <s v="Transport"/>
    <s v="Legal"/>
    <n v="35500"/>
    <n v="61.244276679214558"/>
    <n v="579.64599999999996"/>
    <s v="Abraham"/>
    <s v="AB-M-D3"/>
    <s v="PALF"/>
    <x v="1"/>
    <s v="Congo"/>
    <m/>
    <m/>
    <m/>
  </r>
  <r>
    <x v="76"/>
    <s v="Frais de transfert d'argent  à crepin et Donald-Roméo"/>
    <s v="Transfer Fees"/>
    <s v="Office"/>
    <n v="8825"/>
    <n v="15.224809625185028"/>
    <n v="579.64599999999996"/>
    <s v="Abraham"/>
    <s v="CA-M-R52"/>
    <s v="PALF"/>
    <x v="1"/>
    <s v="Congo"/>
    <m/>
    <m/>
    <m/>
  </r>
  <r>
    <x v="76"/>
    <s v="Cumul frais de Jails visits du mois de Mars 2025/Donald-Romeo"/>
    <s v="Jail visit"/>
    <s v="Legal"/>
    <n v="4000"/>
    <n v="6.9007635694889649"/>
    <n v="579.64599999999996"/>
    <s v="Donald-Romeo"/>
    <s v="DR-M-D2"/>
    <s v="PALF"/>
    <x v="1"/>
    <s v="Congo"/>
    <m/>
    <m/>
    <m/>
  </r>
  <r>
    <x v="76"/>
    <s v="Cumul frais de transport local du mois de Mars  2025 /Evariste "/>
    <s v="Transport"/>
    <s v="Media"/>
    <n v="43650"/>
    <n v="75.304582452048322"/>
    <n v="579.64599999999996"/>
    <s v="Evariste"/>
    <s v="EV-M-D2"/>
    <s v="PALF"/>
    <x v="1"/>
    <s v="Congo"/>
    <m/>
    <m/>
    <m/>
  </r>
  <r>
    <x v="76"/>
    <s v="Bonus media portant sur l'interpellation de 2 Présumés trafiquants le 22/03/205 à Dolisie"/>
    <s v="Bonus to media officer"/>
    <s v="Media"/>
    <n v="154000"/>
    <n v="265.67939742532513"/>
    <n v="579.64599999999996"/>
    <s v="Evariste"/>
    <s v="CA-M-D15"/>
    <s v="PALF"/>
    <x v="1"/>
    <s v="Congo"/>
    <m/>
    <m/>
    <m/>
  </r>
  <r>
    <x v="76"/>
    <s v="Reglement honoraire du mois de Mars 2025/P29/3654837"/>
    <s v="Personnel"/>
    <s v="Investigations"/>
    <n v="500000"/>
    <n v="862.59544618612051"/>
    <n v="579.64599999999996"/>
    <s v="BCI"/>
    <s v="BQ-M-R33"/>
    <s v="PALF"/>
    <x v="1"/>
    <s v="Congo"/>
    <m/>
    <m/>
    <m/>
  </r>
  <r>
    <x v="76"/>
    <s v="Reglement honoraire du mois de Mars 2025/G12/3654833"/>
    <s v="Personnel"/>
    <s v="Investigations"/>
    <n v="375000"/>
    <n v="646.94658463959047"/>
    <n v="579.64599999999996"/>
    <s v="BCI"/>
    <s v="BQ-M-R34"/>
    <s v="PALF"/>
    <x v="1"/>
    <s v="Congo"/>
    <m/>
    <m/>
    <m/>
  </r>
  <r>
    <x v="77"/>
    <s v="Bonus pour 12 Policiers ayant effectué le transferèment de Moussa Grâce de Mossendjo à Dolisie"/>
    <s v="Bonus"/>
    <s v="Operations"/>
    <n v="120000"/>
    <n v="207.02290708466893"/>
    <n v="579.64599999999996"/>
    <s v="Crépin"/>
    <s v="CR-M-R9"/>
    <s v="PALF"/>
    <x v="1"/>
    <s v="Congo"/>
    <m/>
    <m/>
    <m/>
  </r>
  <r>
    <x v="77"/>
    <s v="Ration pour 12 policiers moyennant 5000 par policier ayant effectué le transferèment de Mossendjo à Dolisie"/>
    <s v="Travel Subsistence"/>
    <s v="Operations"/>
    <n v="60000"/>
    <n v="103.51145354233446"/>
    <n v="579.64599999999996"/>
    <s v="Crépin"/>
    <s v="CR-M-R10"/>
    <s v="PALF"/>
    <x v="1"/>
    <s v="Congo"/>
    <m/>
    <m/>
    <m/>
  </r>
  <r>
    <x v="77"/>
    <s v="Carburant aller de la BJ Mossendjo-Dolisie pour le transferèment"/>
    <s v="Transport"/>
    <s v="Operations"/>
    <n v="46875"/>
    <n v="80.868323079948809"/>
    <n v="579.64599999999996"/>
    <s v="Crépin"/>
    <s v="CR-M-R11"/>
    <s v="PALF"/>
    <x v="1"/>
    <s v="Congo"/>
    <m/>
    <m/>
    <m/>
  </r>
  <r>
    <x v="77"/>
    <s v="Carburant retour de la BJ Dolisie-Mossendjo apès le transferèment"/>
    <s v="Transport"/>
    <s v="Operations"/>
    <n v="46875"/>
    <n v="80.868323079948809"/>
    <n v="579.64599999999996"/>
    <s v="Crépin"/>
    <s v="CR-M-R12"/>
    <s v="PALF"/>
    <x v="1"/>
    <s v="Congo"/>
    <m/>
    <m/>
    <m/>
  </r>
  <r>
    <x v="77"/>
    <s v="Cumul frais de transport local du mois de Mars 2025/CREPIN"/>
    <s v="Transport"/>
    <s v="Legal"/>
    <n v="40000"/>
    <n v="69.007635694889643"/>
    <n v="579.64599999999996"/>
    <s v="Crépin"/>
    <s v="CR-M-D3"/>
    <s v="PALF"/>
    <x v="1"/>
    <s v="Congo"/>
    <m/>
    <m/>
    <m/>
  </r>
  <r>
    <x v="77"/>
    <s v="Cumul frais de transport local du mois de Mars 2025/T73"/>
    <s v="Transport"/>
    <s v="Investigations"/>
    <n v="83200"/>
    <n v="143.53588224537046"/>
    <n v="579.64599999999996"/>
    <s v="T73"/>
    <s v="T73-M-D4"/>
    <s v="PALF"/>
    <x v="1"/>
    <s v="Congo"/>
    <m/>
    <m/>
    <m/>
  </r>
  <r>
    <x v="75"/>
    <s v="ROMAIN - CONGO Frais d'hotel du 17/03/ au 27/03/2025 à Dolisie (10 nuitées)"/>
    <s v="Travel Subsistence"/>
    <s v="Legal"/>
    <n v="150000"/>
    <n v="258.77863385583618"/>
    <n v="579.64599999999996"/>
    <s v="Romain"/>
    <s v="RM-M-R5"/>
    <s v="PALF"/>
    <x v="1"/>
    <s v="Congo"/>
    <m/>
    <m/>
    <m/>
  </r>
  <r>
    <x v="77"/>
    <s v="ROMAIN - CONGO Frais d'hotel du 27/03/ au 29/03/2025 à Sibiti(02 nuitées)"/>
    <s v="Travel Subsistence"/>
    <s v="Legal"/>
    <n v="30000"/>
    <n v="51.755726771167232"/>
    <n v="579.64599999999996"/>
    <s v="Romain"/>
    <s v="RM-M-R6"/>
    <s v="PALF"/>
    <x v="1"/>
    <s v="Congo"/>
    <m/>
    <m/>
    <m/>
  </r>
  <r>
    <x v="77"/>
    <s v="Billet SIBITI- Nkayi/Romain "/>
    <s v="Transport"/>
    <s v="Legal"/>
    <n v="6000"/>
    <n v="10.351145354233447"/>
    <n v="579.64599999999996"/>
    <s v="Romain"/>
    <s v="RM-M-R7"/>
    <s v="PALF"/>
    <x v="1"/>
    <s v="Congo"/>
    <m/>
    <m/>
    <m/>
  </r>
  <r>
    <x v="77"/>
    <s v="Billet Nkayi-Brazzaville/Romain"/>
    <s v="Transport"/>
    <s v="Legal"/>
    <n v="7000"/>
    <n v="12.076336246605688"/>
    <n v="579.64599999999996"/>
    <s v="Romain"/>
    <s v="RM-M-R8"/>
    <s v="PALF"/>
    <x v="1"/>
    <s v="Congo"/>
    <m/>
    <m/>
    <m/>
  </r>
  <r>
    <x v="77"/>
    <s v="Cumul frais de transport local du mois de Mars 2025/Romain "/>
    <s v="Transport"/>
    <s v="Legal"/>
    <n v="49400"/>
    <n v="85.224430083188707"/>
    <n v="579.64599999999996"/>
    <s v="Romain"/>
    <s v="RM-M-D4"/>
    <s v="PALF"/>
    <x v="1"/>
    <s v="Congo"/>
    <m/>
    <m/>
    <m/>
  </r>
  <r>
    <x v="78"/>
    <s v="Cumul frais de transport local du mois de Mars 2025/DOVI"/>
    <s v="Transport"/>
    <s v="Management"/>
    <n v="61000"/>
    <n v="105.2366444347067"/>
    <n v="579.64599999999996"/>
    <s v="DOVI"/>
    <s v="DH-M-D1"/>
    <s v="PALF"/>
    <x v="1"/>
    <s v="Congo"/>
    <m/>
    <m/>
    <m/>
  </r>
  <r>
    <x v="78"/>
    <s v="Cumul frais de transfert local du mois de Mars 2025/Parfaite"/>
    <s v="Transport"/>
    <s v="Office"/>
    <n v="35500"/>
    <n v="61.244276679214558"/>
    <n v="579.64599999999996"/>
    <s v="Parfaite"/>
    <s v="P-M-D1"/>
    <s v="PALF"/>
    <x v="1"/>
    <s v="Congo"/>
    <m/>
    <m/>
    <m/>
  </r>
  <r>
    <x v="78"/>
    <s v="Reglement facture internet periode du 01/04 au 30/04/2025 bureau PALF"/>
    <s v="Internet"/>
    <s v="Office"/>
    <n v="45050"/>
    <n v="77.719849701369469"/>
    <n v="579.64599999999996"/>
    <s v="Parfaite"/>
    <s v="CA-M-R54"/>
    <s v="PALF"/>
    <x v="1"/>
    <s v="Congo"/>
    <m/>
    <m/>
    <m/>
  </r>
  <r>
    <x v="78"/>
    <s v="Cumul frais de trust building du mois de Mars 2025/IT87"/>
    <s v="Trust Building"/>
    <s v="Investigations"/>
    <n v="30100"/>
    <n v="51.928245860404459"/>
    <n v="579.64599999999996"/>
    <s v="IT87"/>
    <s v="IT87-M-D3"/>
    <s v="PALF"/>
    <x v="1"/>
    <s v="Congo"/>
    <m/>
    <m/>
    <m/>
  </r>
  <r>
    <x v="78"/>
    <s v="Cumul frais de transport local du mois de Mars 2025/IT87"/>
    <s v="Transport"/>
    <s v="Investigations"/>
    <n v="89800"/>
    <n v="154.92214213502726"/>
    <n v="579.64599999999996"/>
    <s v="IT87"/>
    <s v="IT87-M-D4"/>
    <s v="PALF"/>
    <x v="1"/>
    <s v="Congo"/>
    <m/>
    <m/>
    <m/>
  </r>
  <r>
    <x v="78"/>
    <s v="Cumul transport local du mois de Mars 2025/G12"/>
    <s v="Transport"/>
    <s v="Investigations"/>
    <n v="50500"/>
    <n v="87.122140064798174"/>
    <n v="579.64599999999996"/>
    <s v="G12"/>
    <s v="G12-M-D3"/>
    <s v="PALF"/>
    <x v="1"/>
    <s v="Congo"/>
    <m/>
    <m/>
    <m/>
  </r>
  <r>
    <x v="78"/>
    <s v="Cumul frais de transport local du mois de Mars 2025/Roderlin "/>
    <s v="Transport"/>
    <s v="Legal"/>
    <n v="53000"/>
    <n v="91.435117295728773"/>
    <n v="579.64599999999996"/>
    <s v="Roderlin"/>
    <s v="RO-M-D2"/>
    <s v="PALF"/>
    <x v="1"/>
    <s v="Congo"/>
    <m/>
    <m/>
    <m/>
  </r>
  <r>
    <x v="78"/>
    <s v="Frais de transfert d'argent à Crepin, Me Alain et Donald-Romeo"/>
    <s v="Transfer Fees"/>
    <s v="Office"/>
    <n v="16890"/>
    <n v="29.138474172167154"/>
    <n v="579.64599999999996"/>
    <s v="Roderlin"/>
    <s v="CA-M-R55"/>
    <s v="PALF"/>
    <x v="1"/>
    <s v="Congo"/>
    <m/>
    <m/>
    <m/>
  </r>
  <r>
    <x v="78"/>
    <s v="Cumul frais de transport local du mois de Mars 2025/Donald-Romeo"/>
    <s v="Transport"/>
    <s v="Legal"/>
    <n v="33000"/>
    <n v="56.931299448283958"/>
    <n v="579.64599999999996"/>
    <s v="Donald-Romeo"/>
    <s v="DR-M-D3"/>
    <s v="PALF"/>
    <x v="1"/>
    <s v="Congo"/>
    <m/>
    <m/>
    <m/>
  </r>
  <r>
    <x v="78"/>
    <s v="Reglement honoraire du mois de Mars 2025/T73/3654829"/>
    <s v="Personnel"/>
    <s v="Investigations"/>
    <n v="255000"/>
    <n v="439.92367755492148"/>
    <n v="579.64599999999996"/>
    <s v="BCI"/>
    <s v="BQ-M-R35"/>
    <s v="PALF"/>
    <x v="1"/>
    <s v="Congo"/>
    <m/>
    <m/>
    <m/>
  </r>
  <r>
    <x v="78"/>
    <s v="Reglement honoraire du mois de Mars 2025/IT87/3654827"/>
    <s v="Personnel"/>
    <s v="Investigations"/>
    <n v="255000"/>
    <n v="439.92367755492148"/>
    <n v="579.64599999999996"/>
    <s v="BCI"/>
    <s v="BQ-M-R36"/>
    <s v="PALF"/>
    <x v="1"/>
    <s v="Congo"/>
    <m/>
    <m/>
    <m/>
  </r>
  <r>
    <x v="79"/>
    <s v="Paiement  frais d'inscription et mensuel de la formation en informatique"/>
    <s v="Training"/>
    <s v="Team Building"/>
    <n v="28000"/>
    <n v="48.305344986422753"/>
    <n v="579.64599999999996"/>
    <s v="G12"/>
    <s v="G12-A-R1"/>
    <s v="PALF"/>
    <x v="1"/>
    <s v="Congo"/>
    <m/>
    <m/>
    <m/>
  </r>
  <r>
    <x v="79"/>
    <s v="Achat billet Brazzaville-Owando/ Roderlin"/>
    <s v="Transport"/>
    <s v="Legal"/>
    <n v="7000"/>
    <n v="12.076336246605688"/>
    <n v="579.64599999999996"/>
    <s v="Roderlin"/>
    <s v="RO-A-R1"/>
    <s v="PALF"/>
    <x v="1"/>
    <s v="Congo"/>
    <m/>
    <m/>
    <m/>
  </r>
  <r>
    <x v="79"/>
    <s v="Frais de transport mission Maitre Hélene à Owando du 02 au 04/04/2025"/>
    <s v="Transport"/>
    <s v="Legal"/>
    <n v="21000"/>
    <n v="36.229008739817061"/>
    <n v="579.64599999999996"/>
    <s v="Roderlin"/>
    <s v="CA-A-R1"/>
    <s v="PALF"/>
    <x v="1"/>
    <s v="Congo"/>
    <m/>
    <m/>
    <m/>
  </r>
  <r>
    <x v="79"/>
    <s v="Ration et frais d'hotel mission maitre Hélene à Owando du 02au 04/04/2025"/>
    <s v="Travel Subsistence"/>
    <s v="Legal"/>
    <n v="50000"/>
    <n v="86.259544618612054"/>
    <n v="579.64599999999996"/>
    <s v="Roderlin"/>
    <s v="CA-A-R2"/>
    <s v="PALF"/>
    <x v="1"/>
    <s v="Congo"/>
    <m/>
    <m/>
    <m/>
  </r>
  <r>
    <x v="79"/>
    <s v="Reglement Facture Gardiennage Mois de Mars 2025/3654828"/>
    <s v="Services"/>
    <s v="Office"/>
    <n v="260000"/>
    <n v="448.54963201678271"/>
    <n v="579.64599999999996"/>
    <s v="BCI"/>
    <s v="BQ-A-R16"/>
    <s v="PALF"/>
    <x v="1"/>
    <s v="Congo"/>
    <m/>
    <m/>
    <m/>
  </r>
  <r>
    <x v="80"/>
    <s v="Achat credit  teléphonique MTN/PALF/Première partie du mois d'Avril 2025/Investigation"/>
    <s v="Telephone"/>
    <s v="Investigations"/>
    <n v="88000"/>
    <n v="151.81679852875723"/>
    <n v="579.64599999999996"/>
    <s v="Parfaite"/>
    <s v="CA-A-R5"/>
    <s v="PALF"/>
    <x v="1"/>
    <s v="Congo"/>
    <m/>
    <m/>
    <m/>
  </r>
  <r>
    <x v="80"/>
    <s v="Achat credit  teléphonique MTN/PALF/Première partie du mois d'Avril 2025/Media"/>
    <s v="Telephone"/>
    <s v="Media"/>
    <n v="10000"/>
    <n v="17.251908923722411"/>
    <n v="579.64599999999996"/>
    <s v="Parfaite"/>
    <s v="CA-A-R6"/>
    <s v="PALF"/>
    <x v="1"/>
    <s v="Congo"/>
    <m/>
    <m/>
    <m/>
  </r>
  <r>
    <x v="80"/>
    <s v="Achat credit  teléphonique Airtel/PALF/Première partie du mois d'Avril 2025/Legal"/>
    <s v="Telephone"/>
    <s v="Legal"/>
    <n v="10000"/>
    <n v="17.251908923722411"/>
    <n v="579.64599999999996"/>
    <s v="Parfaite"/>
    <s v="CA-A-R7"/>
    <s v="PALF"/>
    <x v="1"/>
    <s v="Congo"/>
    <m/>
    <m/>
    <m/>
  </r>
  <r>
    <x v="80"/>
    <s v="Achat credit  teléphonique Airtel/PALF/Première partie du mois d'Avril 2025/Investigation"/>
    <s v="Telephone"/>
    <s v="Investigations"/>
    <n v="16000"/>
    <n v="27.603054277955859"/>
    <n v="579.64599999999996"/>
    <s v="Parfaite"/>
    <s v="CA-A-R8"/>
    <s v="PALF"/>
    <x v="1"/>
    <s v="Congo"/>
    <m/>
    <m/>
    <m/>
  </r>
  <r>
    <x v="80"/>
    <s v="Achat credit  teléphonique Airtel/PALF/Première partie du mois d'Avril 2025/Media"/>
    <s v="Telephone"/>
    <s v="Media"/>
    <n v="11000"/>
    <n v="18.977099816094654"/>
    <n v="579.64599999999996"/>
    <s v="Parfaite"/>
    <s v="CA-A-R9"/>
    <s v="PALF"/>
    <x v="1"/>
    <s v="Congo"/>
    <m/>
    <m/>
    <m/>
  </r>
  <r>
    <x v="80"/>
    <s v="Roderlin-CONGO Ration du 02 au 04/04/2025 à Owando "/>
    <s v="Travel Subsistence"/>
    <s v="Legal"/>
    <n v="20000"/>
    <n v="34.503817847444822"/>
    <n v="579.64599999999996"/>
    <s v="Roderlin"/>
    <s v="RO-A-D1"/>
    <s v="PALF"/>
    <x v="1"/>
    <s v="Congo"/>
    <m/>
    <m/>
    <m/>
  </r>
  <r>
    <x v="80"/>
    <s v="Achat credit  teléphonique MTN/PALF/Première partie du mois d'Avril 2025/Management"/>
    <s v="Telephone"/>
    <s v="Management"/>
    <n v="42000"/>
    <n v="72.052412983844818"/>
    <n v="582.90899999999999"/>
    <s v="Parfaite"/>
    <s v="CA-A-R3"/>
    <s v="PALF"/>
    <x v="5"/>
    <s v="Congo"/>
    <m/>
    <m/>
    <m/>
  </r>
  <r>
    <x v="80"/>
    <s v="RAPATRIEME01100NRAO00010782"/>
    <s v="Grant"/>
    <m/>
    <m/>
    <n v="0"/>
    <n v="582.90859999999998"/>
    <s v="BCI"/>
    <s v="BQ-A-G1"/>
    <s v="PALF"/>
    <x v="5"/>
    <s v="Congo"/>
    <n v="17487258"/>
    <n v="30000"/>
    <m/>
  </r>
  <r>
    <x v="80"/>
    <s v="Achat credit  teléphonique MTN/PALF/Première partie du mois d'Avril 2025/Legal"/>
    <s v="Telephone"/>
    <s v="Legal"/>
    <n v="95000"/>
    <n v="162.97569603488711"/>
    <n v="582.90899999999999"/>
    <s v="Parfaite"/>
    <s v="CA-A-R4"/>
    <s v="PALF"/>
    <x v="5"/>
    <s v="Congo"/>
    <m/>
    <m/>
    <m/>
  </r>
  <r>
    <x v="81"/>
    <s v="Paiement frais de formation mensuel/formation en anglais"/>
    <s v="Training"/>
    <s v="Team Building"/>
    <n v="50000"/>
    <n v="86.259544618612054"/>
    <n v="579.64599999999996"/>
    <s v="T73"/>
    <s v="T73-A-R1"/>
    <s v="PALF"/>
    <x v="3"/>
    <s v="Congo"/>
    <m/>
    <m/>
    <m/>
  </r>
  <r>
    <x v="81"/>
    <s v="Achat billet Brazzaville-Madingou/P29"/>
    <s v="Transport"/>
    <s v="Investigations"/>
    <n v="7000"/>
    <n v="12.00873549730747"/>
    <n v="582.90899999999999"/>
    <s v="P29"/>
    <s v="P29-A-R1"/>
    <s v="PALF"/>
    <x v="5"/>
    <s v="Congo"/>
    <m/>
    <m/>
    <m/>
  </r>
  <r>
    <x v="81"/>
    <s v="Achat billet Brazzaville - Madingou/ IT87"/>
    <s v="Transport"/>
    <s v="Investigations"/>
    <n v="7000"/>
    <n v="12.076336246605688"/>
    <n v="579.64599999999996"/>
    <s v="IT87"/>
    <s v="IT87-A-R1"/>
    <s v="PALF"/>
    <x v="3"/>
    <s v="Congo"/>
    <m/>
    <m/>
    <m/>
  </r>
  <r>
    <x v="82"/>
    <s v="Achat billet Owando- Brazzaville / Roderlin"/>
    <s v="Transport"/>
    <s v="Legal"/>
    <n v="7000"/>
    <n v="12.076336246605688"/>
    <n v="579.64599999999996"/>
    <s v="Roderlin"/>
    <s v="RO-A-R2"/>
    <s v="PALF"/>
    <x v="3"/>
    <s v="Congo"/>
    <m/>
    <m/>
    <m/>
  </r>
  <r>
    <x v="82"/>
    <s v="P29 - CONGO Ration  du 04 au 18/04/2025 à Madingou (14Nuitées)"/>
    <s v="Travel Subsistence"/>
    <s v="Investigations"/>
    <n v="140000"/>
    <n v="241.52672493211375"/>
    <n v="579.64599999999996"/>
    <s v="P29"/>
    <s v="P29-A-D1"/>
    <s v="PALF"/>
    <x v="3"/>
    <s v="Congo"/>
    <m/>
    <m/>
    <m/>
  </r>
  <r>
    <x v="82"/>
    <s v="IT87-CONGO Ration du 04 au 18/04/2025 à Madingou"/>
    <s v="Travel Subsistence"/>
    <s v="Investigations"/>
    <n v="140000"/>
    <n v="241.52672493211375"/>
    <n v="579.64599999999996"/>
    <s v="IT87"/>
    <s v="IT87-A-D1"/>
    <s v="PALF"/>
    <x v="3"/>
    <s v="Congo"/>
    <m/>
    <m/>
    <m/>
  </r>
  <r>
    <x v="82"/>
    <s v="Roderlin-CONGO frais d'hôtel du 02 au 04/04/2025 à Owando (02 nuitées)"/>
    <s v="Travel Subsistence"/>
    <s v="Legal"/>
    <n v="30000"/>
    <n v="51.755726771167232"/>
    <n v="579.64599999999996"/>
    <s v="Roderlin"/>
    <s v="RO-A-R3"/>
    <s v="PALF"/>
    <x v="3"/>
    <s v="Congo"/>
    <m/>
    <m/>
    <m/>
  </r>
  <r>
    <x v="82"/>
    <s v="Bonus media portant sur l'interpellation de 2 Présumés trafiquants le 04/04/205 à Dolisie"/>
    <s v="Bonus to media officer"/>
    <s v="Media"/>
    <n v="122000"/>
    <n v="210.47328886941341"/>
    <n v="579.64599999999996"/>
    <s v="Evariste"/>
    <s v="CA-A-D1"/>
    <s v="PALF"/>
    <x v="3"/>
    <s v="Congo"/>
    <m/>
    <m/>
    <m/>
  </r>
  <r>
    <x v="83"/>
    <s v="Achat billet Dolisie-Brazzaville/ Donald-Roméo"/>
    <s v="Transport "/>
    <s v="Legal"/>
    <n v="10000"/>
    <n v="17.251908923722411"/>
    <n v="579.64599999999996"/>
    <s v="Donald-Romeo"/>
    <s v="DR-A-R1"/>
    <s v="PALF"/>
    <x v="3"/>
    <s v="Congo"/>
    <m/>
    <m/>
    <m/>
  </r>
  <r>
    <x v="83"/>
    <s v="CREPIN -CONGO Fais l'hôtel du 22/03/ au 05/04/2025 à Dolisie (14 nuitées)"/>
    <s v="Travel Subsistence"/>
    <s v="Legal"/>
    <n v="210000"/>
    <n v="360.26206491922409"/>
    <n v="582.90899999999999"/>
    <s v="Crépin"/>
    <s v="CR-A-R1"/>
    <s v="PALF"/>
    <x v="5"/>
    <s v="Congo"/>
    <m/>
    <m/>
    <m/>
  </r>
  <r>
    <x v="83"/>
    <s v="Achat billet Dolisie-Brazzaville/Crépin"/>
    <s v="Transport"/>
    <s v="Legal"/>
    <n v="10000"/>
    <n v="17.155336424724958"/>
    <n v="582.90899999999999"/>
    <s v="Crépin"/>
    <s v="CR-A-R2"/>
    <s v="PALF"/>
    <x v="5"/>
    <s v="Congo"/>
    <m/>
    <m/>
    <m/>
  </r>
  <r>
    <x v="83"/>
    <s v="Cumul frais de trust building du mois d'Avril 2025/IT87"/>
    <s v="Trust Building"/>
    <s v="Investigations"/>
    <n v="10500"/>
    <n v="18.013103245961204"/>
    <n v="582.90899999999999"/>
    <s v="IT87"/>
    <s v="IT87-A-D2"/>
    <s v="PALF"/>
    <x v="5"/>
    <s v="Congo"/>
    <m/>
    <m/>
    <m/>
  </r>
  <r>
    <x v="83"/>
    <s v="DONALD ROMEO- CONGO Frais d'hôtel  du 17/03/ au 05/04/2025 à Dolisie (19 Nuitées)"/>
    <s v="Travel Subsistence"/>
    <s v="Legal"/>
    <n v="285000"/>
    <n v="488.92708810466127"/>
    <n v="582.90899999999999"/>
    <s v="Donald-Romeo"/>
    <s v="DR-A-R2"/>
    <s v="PALF"/>
    <x v="5"/>
    <s v="Congo"/>
    <m/>
    <m/>
    <m/>
  </r>
  <r>
    <x v="84"/>
    <s v="Bonus du mois de Mars 2025/Crepin"/>
    <s v="Personnel"/>
    <s v="Legal"/>
    <n v="30000"/>
    <n v="51.466009274174873"/>
    <n v="582.90899999999999"/>
    <s v="Parfaite"/>
    <s v="CA-A-D2"/>
    <s v="PALF"/>
    <x v="5"/>
    <s v="Congo"/>
    <m/>
    <m/>
    <m/>
  </r>
  <r>
    <x v="84"/>
    <s v="Bonus operation du 22/03/2025 à Dolisie/Crepin"/>
    <s v="Bonus"/>
    <s v="Operations"/>
    <n v="40000"/>
    <n v="68.62134569889983"/>
    <n v="582.90899999999999"/>
    <s v="Parfaite"/>
    <s v="CA-A-D3"/>
    <s v="PALF"/>
    <x v="5"/>
    <s v="Congo"/>
    <m/>
    <m/>
    <m/>
  </r>
  <r>
    <x v="85"/>
    <s v="Règlement loyer du mois d'Avril 2025/DOVI/Coordinateur PALF"/>
    <s v="Personnel"/>
    <s v="Management"/>
    <n v="174625"/>
    <n v="299.57506231675956"/>
    <n v="582.90899999999999"/>
    <s v="DOVI"/>
    <s v="DH-A-R1"/>
    <s v="PALF"/>
    <x v="5"/>
    <s v="Congo"/>
    <m/>
    <m/>
    <m/>
  </r>
  <r>
    <x v="85"/>
    <s v="Bonus à un informateur en RDC"/>
    <s v="Trust Building"/>
    <s v="Investigations"/>
    <n v="67051"/>
    <n v="115.02824626142331"/>
    <n v="582.90899999999999"/>
    <s v="DOVI"/>
    <s v="CA-A-R10"/>
    <s v="PALF"/>
    <x v="5"/>
    <s v="Congo"/>
    <m/>
    <m/>
    <m/>
  </r>
  <r>
    <x v="85"/>
    <s v="Bonus du mois de Mars 2025/Parfaite"/>
    <s v="Personnel"/>
    <s v="Management"/>
    <n v="30000"/>
    <n v="51.466009274174873"/>
    <n v="582.90899999999999"/>
    <s v="Parfaite"/>
    <s v="CA-A-D4"/>
    <s v="PALF"/>
    <x v="5"/>
    <s v="Congo"/>
    <m/>
    <m/>
    <m/>
  </r>
  <r>
    <x v="85"/>
    <s v="Bonus du mois de Mars 2025/Romain"/>
    <s v="Personnel"/>
    <s v="Legal"/>
    <n v="30000"/>
    <n v="51.466009274174873"/>
    <n v="582.90899999999999"/>
    <s v="Parfaite"/>
    <s v="CA-A-D5"/>
    <s v="PALF"/>
    <x v="5"/>
    <s v="Congo"/>
    <m/>
    <m/>
    <m/>
  </r>
  <r>
    <x v="85"/>
    <s v="Bonus du mois de Mars 2025/Donal-Roméo"/>
    <s v="Personnel"/>
    <s v="Legal"/>
    <n v="20500"/>
    <n v="35.168439670686162"/>
    <n v="582.90899999999999"/>
    <s v="Parfaite"/>
    <s v="CA-A-D6"/>
    <s v="PALF"/>
    <x v="5"/>
    <s v="Congo"/>
    <m/>
    <m/>
    <m/>
  </r>
  <r>
    <x v="85"/>
    <s v="Bonus du mois de Mars 2025/Abraham"/>
    <s v="Personnel"/>
    <s v="Legal"/>
    <n v="30000"/>
    <n v="51.466009274174873"/>
    <n v="582.90899999999999"/>
    <s v="Parfaite"/>
    <s v="CA-A-D7"/>
    <s v="PALF"/>
    <x v="5"/>
    <s v="Congo"/>
    <m/>
    <m/>
    <m/>
  </r>
  <r>
    <x v="85"/>
    <s v="Bonus du mois de Mars 2025/Roderlin"/>
    <s v="Personnel"/>
    <s v="Legal"/>
    <n v="30000"/>
    <n v="51.466009274174873"/>
    <n v="582.90899999999999"/>
    <s v="Parfaite"/>
    <s v="CA-A-D8"/>
    <s v="PALF"/>
    <x v="5"/>
    <s v="Congo"/>
    <m/>
    <m/>
    <m/>
  </r>
  <r>
    <x v="85"/>
    <s v="Bonus du mois de Mars 2025/Evariste"/>
    <s v="Personnel"/>
    <s v="Media"/>
    <n v="30000"/>
    <n v="51.466009274174873"/>
    <n v="582.90899999999999"/>
    <s v="Parfaite"/>
    <s v="CA-A-D9"/>
    <s v="PALF"/>
    <x v="5"/>
    <s v="Congo"/>
    <m/>
    <m/>
    <m/>
  </r>
  <r>
    <x v="85"/>
    <s v="Bonus opération du 22/03/2025 à Dolisie/Donald-Roméo"/>
    <s v="Bonus"/>
    <s v="Operations"/>
    <n v="30000"/>
    <n v="51.466009274174873"/>
    <n v="582.90899999999999"/>
    <s v="Parfaite"/>
    <s v="CA-A-D10"/>
    <s v="PALF"/>
    <x v="5"/>
    <s v="Congo"/>
    <m/>
    <m/>
    <m/>
  </r>
  <r>
    <x v="85"/>
    <s v="Bonus opération du 22/03/2025 à Dolisie/Romain"/>
    <s v="Bonus"/>
    <s v="Operations"/>
    <n v="25000"/>
    <n v="42.88834106181239"/>
    <n v="582.90899999999999"/>
    <s v="Parfaite"/>
    <s v="CA-A-D11"/>
    <s v="PALF"/>
    <x v="5"/>
    <s v="Congo"/>
    <m/>
    <m/>
    <m/>
  </r>
  <r>
    <x v="85"/>
    <s v="Bonus opération du 22/03/2025 à Dolisie/Abraham"/>
    <s v="Bonus"/>
    <s v="Operations"/>
    <n v="25000"/>
    <n v="42.88834106181239"/>
    <n v="582.90899999999999"/>
    <s v="Parfaite"/>
    <s v="CA-A-D12"/>
    <s v="PALF"/>
    <x v="5"/>
    <s v="Congo"/>
    <m/>
    <m/>
    <m/>
  </r>
  <r>
    <x v="85"/>
    <s v="Bonus opération du 22/03/2025 à Dolisie/Evariste"/>
    <s v="Bonus"/>
    <s v="Operations"/>
    <n v="25000"/>
    <n v="42.88834106181239"/>
    <n v="582.90899999999999"/>
    <s v="Parfaite"/>
    <s v="CA-A-D13"/>
    <s v="PALF"/>
    <x v="5"/>
    <s v="Congo"/>
    <m/>
    <m/>
    <m/>
  </r>
  <r>
    <x v="85"/>
    <s v="Achat billet  Brazzaville - Ewo/T73"/>
    <s v="Transport"/>
    <s v="Investigations"/>
    <n v="9000"/>
    <n v="15.439802782252462"/>
    <n v="582.90899999999999"/>
    <s v="T73"/>
    <s v="T73-A-R2"/>
    <s v="PALF"/>
    <x v="5"/>
    <s v="Congo"/>
    <m/>
    <m/>
    <m/>
  </r>
  <r>
    <x v="85"/>
    <s v="T73-CONGO Ration du 08 au 15/04/2025 à Ewo, Boundji et Oyo (07nuitées)"/>
    <s v="Travel Subsistence"/>
    <s v="Investigations"/>
    <n v="70000"/>
    <n v="120.0873549730747"/>
    <n v="582.90899999999999"/>
    <s v="T73"/>
    <s v="T73-A-D1"/>
    <s v="PALF"/>
    <x v="5"/>
    <s v="Congo"/>
    <m/>
    <m/>
    <m/>
  </r>
  <r>
    <x v="85"/>
    <s v="Achat billet Brazzaville - Pointe Noire/G12"/>
    <s v="Transport"/>
    <s v="Investigations"/>
    <n v="10000"/>
    <n v="17.155336424724958"/>
    <n v="582.90899999999999"/>
    <s v="G12"/>
    <s v="G12-A-R2"/>
    <s v="PALF"/>
    <x v="5"/>
    <s v="Congo"/>
    <m/>
    <m/>
    <m/>
  </r>
  <r>
    <x v="85"/>
    <s v="G12-CONGO Ration du 08 au 15/04/2025 à Pointe-Noire, Madingo kayes et Nzassi"/>
    <s v="Travel Subsistence"/>
    <s v="Investigations"/>
    <n v="70000"/>
    <n v="120.0873549730747"/>
    <n v="582.90899999999999"/>
    <s v="G12"/>
    <s v="G12-A-D1"/>
    <s v="PALF"/>
    <x v="5"/>
    <s v="Congo"/>
    <m/>
    <m/>
    <m/>
  </r>
  <r>
    <x v="85"/>
    <s v="Achat billet Brazzaville-Pointe Noire/Romain"/>
    <s v="Transport"/>
    <s v="Legal"/>
    <n v="12000"/>
    <n v="20.586403709669948"/>
    <n v="582.90899999999999"/>
    <s v="Romain"/>
    <s v="RM-A-R1"/>
    <s v="PALF"/>
    <x v="5"/>
    <s v="Congo"/>
    <m/>
    <m/>
    <m/>
  </r>
  <r>
    <x v="85"/>
    <s v="Frais de transfert Bonus à un informateur en RDC"/>
    <s v="Transfer Fees"/>
    <s v="Office"/>
    <n v="4363"/>
    <n v="7.4848732821074986"/>
    <n v="582.90899999999999"/>
    <s v="Roderlin"/>
    <s v="CA-A-R11"/>
    <s v="PALF"/>
    <x v="5"/>
    <s v="Congo"/>
    <m/>
    <m/>
    <m/>
  </r>
  <r>
    <x v="85"/>
    <s v="Frais de transfert d'argent à P29 et IT87"/>
    <s v="Transfer Fees"/>
    <s v="Office"/>
    <n v="12600"/>
    <n v="21.615723895153447"/>
    <n v="582.90899999999999"/>
    <s v="Roderlin"/>
    <s v="CA-A-R12"/>
    <s v="PALF"/>
    <x v="5"/>
    <s v="Congo"/>
    <m/>
    <m/>
    <m/>
  </r>
  <r>
    <x v="85"/>
    <s v="Achat billet Brazzaville- Pointe Noire/ Donald-Roméo"/>
    <s v="Transport "/>
    <s v="Legal"/>
    <n v="12000"/>
    <n v="20.586403709669948"/>
    <n v="582.90899999999999"/>
    <s v="Donald-Romeo"/>
    <s v="DR-A-R3"/>
    <s v="PALF"/>
    <x v="5"/>
    <s v="Congo"/>
    <m/>
    <m/>
    <m/>
  </r>
  <r>
    <x v="85"/>
    <s v="Paiement Honoraire Me LOCKO/Mois de Mars 2025/3654840"/>
    <s v="Lawyer Fees"/>
    <s v="Legal"/>
    <n v="150000"/>
    <n v="257.33004637087436"/>
    <n v="579.64599999999996"/>
    <s v="BCI"/>
    <s v="BQ-A-R1"/>
    <s v="PALF"/>
    <x v="1"/>
    <s v="Congo"/>
    <m/>
    <m/>
    <m/>
  </r>
  <r>
    <x v="85"/>
    <s v="Acompte honoraire contrat n°83 Dolisie cas NDOHO et NGOMA/ Maître BANZOUZI Alain/3654850"/>
    <s v="Lawyer Fees"/>
    <s v="Legal"/>
    <n v="200000"/>
    <n v="343.10672849449912"/>
    <n v="579.64599999999996"/>
    <s v="BCI"/>
    <s v="BQ-A-R2"/>
    <s v="PALF"/>
    <x v="1"/>
    <s v="Congo"/>
    <m/>
    <m/>
    <m/>
  </r>
  <r>
    <x v="86"/>
    <s v="Bonus du mois de Mars 2025/Merveille"/>
    <s v="Personnel"/>
    <s v="Office"/>
    <n v="31500"/>
    <n v="54.039309737883613"/>
    <n v="582.90899999999999"/>
    <s v="Parfaite"/>
    <s v="CA-A-D14"/>
    <s v="PALF"/>
    <x v="5"/>
    <s v="Congo"/>
    <m/>
    <m/>
    <m/>
  </r>
  <r>
    <x v="86"/>
    <s v="Romain- CONGO  Ration du 09 au 18/04/2025 à Pointe Noire,  Madingou"/>
    <s v="Travel Subsistence"/>
    <s v="Legal"/>
    <n v="90000"/>
    <n v="154.39802782252463"/>
    <n v="582.90899999999999"/>
    <s v="Romain"/>
    <s v="RM-A-D1"/>
    <s v="PALF"/>
    <x v="5"/>
    <s v="Congo"/>
    <m/>
    <m/>
    <m/>
  </r>
  <r>
    <x v="86"/>
    <s v="Achat eau mineral 16 LITRES/Bureau"/>
    <s v="Office Materials"/>
    <s v="Office"/>
    <n v="25000"/>
    <n v="42.88834106181239"/>
    <n v="582.90899999999999"/>
    <s v="Abraham"/>
    <s v="CA-A-R13"/>
    <s v="PALF"/>
    <x v="5"/>
    <s v="Congo"/>
    <m/>
    <m/>
    <m/>
  </r>
  <r>
    <x v="86"/>
    <s v="Frais de transport mission Maitre Alain à Sibiti du 10 au 12/04/2025"/>
    <s v="Transport"/>
    <s v="Legal"/>
    <n v="36000"/>
    <n v="61.759211129009849"/>
    <n v="582.90899999999999"/>
    <s v="Abraham"/>
    <s v="CA-A-R14"/>
    <s v="PALF"/>
    <x v="5"/>
    <s v="Congo"/>
    <m/>
    <m/>
    <m/>
  </r>
  <r>
    <x v="86"/>
    <s v="Ration et frais d'hôtel mission maitre Alain à Sibiti du 10 au 12/04/2025"/>
    <s v="Travel Subsistence"/>
    <s v="Legal"/>
    <n v="50000"/>
    <n v="85.776682123624781"/>
    <n v="582.90899999999999"/>
    <s v="Abraham"/>
    <s v="CA-A-R15"/>
    <s v="PALF"/>
    <x v="5"/>
    <s v="Congo"/>
    <m/>
    <m/>
    <m/>
  </r>
  <r>
    <x v="86"/>
    <s v="Achat billet Brazzaville-Loudima / Roderlin"/>
    <s v="Transport"/>
    <s v="Legal"/>
    <n v="8000"/>
    <n v="13.724269139779965"/>
    <n v="582.90899999999999"/>
    <s v="Roderlin"/>
    <s v="RO-A-R4"/>
    <s v="PALF"/>
    <x v="5"/>
    <s v="Congo"/>
    <m/>
    <m/>
    <m/>
  </r>
  <r>
    <x v="86"/>
    <s v="DONALD ROMEO-CONGO Ration  du  09 au 18/04/2025 à Pointe-Noire et Madingou"/>
    <s v="Travel Subsistence"/>
    <s v="Legal"/>
    <n v="90000"/>
    <n v="154.39802782252463"/>
    <n v="582.90899999999999"/>
    <s v="Donald-Romeo"/>
    <s v="DR-A-D1"/>
    <s v="PALF"/>
    <x v="5"/>
    <s v="Congo"/>
    <m/>
    <m/>
    <m/>
  </r>
  <r>
    <x v="87"/>
    <s v="Achat billet Brazzaville-Madingou/Crépin"/>
    <s v="Transport"/>
    <s v="Legal"/>
    <n v="7000"/>
    <n v="12.00873549730747"/>
    <n v="582.90899999999999"/>
    <s v="Crépin"/>
    <s v="CR-A-R3"/>
    <s v="PALF"/>
    <x v="5"/>
    <s v="Congo"/>
    <m/>
    <m/>
    <m/>
  </r>
  <r>
    <x v="87"/>
    <s v="Cumul frais de jail visit du mois d'Avril 2025/Romain"/>
    <s v="Jail visit"/>
    <s v="Legal"/>
    <n v="2000"/>
    <n v="3.4310672849449912"/>
    <n v="582.90899999999999"/>
    <s v="Romain"/>
    <s v="RM-A-D2"/>
    <s v="PALF"/>
    <x v="5"/>
    <s v="Congo"/>
    <m/>
    <m/>
    <m/>
  </r>
  <r>
    <x v="87"/>
    <s v="Achat  billet Pointe Noire-Madingou/Romain"/>
    <s v="Transport"/>
    <s v="Legal"/>
    <n v="7000"/>
    <n v="12.00873549730747"/>
    <n v="582.90899999999999"/>
    <s v="Romain"/>
    <s v="RM-A-R2"/>
    <s v="PALF"/>
    <x v="5"/>
    <s v="Congo"/>
    <m/>
    <m/>
    <m/>
  </r>
  <r>
    <x v="87"/>
    <s v="Achat billet Loudima-Sibiti/ Roderlin"/>
    <s v="Transport"/>
    <s v="Legal"/>
    <n v="4000"/>
    <n v="6.8621345698899825"/>
    <n v="582.90899999999999"/>
    <s v="Roderlin"/>
    <s v="RO-A-R5"/>
    <s v="PALF"/>
    <x v="5"/>
    <s v="Congo"/>
    <m/>
    <m/>
    <m/>
  </r>
  <r>
    <x v="87"/>
    <s v="Roderlin-CONGO Ration du 10 au 18/04/2025 à Sibiti et Madingou "/>
    <s v="Travel Subsistence"/>
    <s v="Legal"/>
    <n v="80000"/>
    <n v="137.24269139779966"/>
    <n v="582.90899999999999"/>
    <s v="Roderlin"/>
    <s v="RO-A-D2"/>
    <s v="PALF"/>
    <x v="5"/>
    <s v="Congo"/>
    <m/>
    <m/>
    <m/>
  </r>
  <r>
    <x v="87"/>
    <s v="Achat billet Pointe Noire- Madingou/ Donald-Roméo"/>
    <s v="Transport "/>
    <s v="Legal"/>
    <n v="7000"/>
    <n v="12.00873549730747"/>
    <n v="582.90899999999999"/>
    <s v="Donald-Romeo"/>
    <s v="DR-A-R4"/>
    <s v="PALF"/>
    <x v="5"/>
    <s v="Congo"/>
    <m/>
    <m/>
    <m/>
  </r>
  <r>
    <x v="87"/>
    <s v="Achat billet Brazzaville-Madingou/Evariste"/>
    <s v="Transport"/>
    <s v="Media"/>
    <n v="7000"/>
    <n v="12.00873549730747"/>
    <n v="582.90899999999999"/>
    <s v="Evariste"/>
    <s v="EV-A-R1"/>
    <s v="PALF"/>
    <x v="5"/>
    <s v="Congo"/>
    <m/>
    <m/>
    <m/>
  </r>
  <r>
    <x v="87"/>
    <s v="Frais de transfert d'argent à P29 et IT87"/>
    <s v="Transfer Fees"/>
    <s v="Office"/>
    <n v="5130"/>
    <n v="8.8006875858839031"/>
    <n v="582.90899999999999"/>
    <s v="Evariste"/>
    <s v="CA-A-R16"/>
    <s v="PALF"/>
    <x v="5"/>
    <s v="Congo"/>
    <m/>
    <m/>
    <m/>
  </r>
  <r>
    <x v="88"/>
    <s v="CREPIN-CONGO Ration du 11 au 18/04/2025 à Madingou"/>
    <s v="Travel Subsistence"/>
    <s v="Legal"/>
    <n v="70000"/>
    <n v="120.0873549730747"/>
    <n v="582.90899999999999"/>
    <s v="Crépin"/>
    <s v="CR-A-D1"/>
    <s v="PALF"/>
    <x v="5"/>
    <s v="Congo"/>
    <m/>
    <m/>
    <m/>
  </r>
  <r>
    <x v="88"/>
    <s v="Achat credit téléphonique pour P29/Appel trust à l'international"/>
    <s v="Telephone"/>
    <s v="Investigations"/>
    <n v="15000"/>
    <n v="25.733004637087436"/>
    <n v="582.90899999999999"/>
    <s v="Parfaite"/>
    <s v="CA-A-R18"/>
    <s v="PALF"/>
    <x v="5"/>
    <s v="Congo"/>
    <m/>
    <m/>
    <m/>
  </r>
  <r>
    <x v="88"/>
    <s v="T73 - CONGO Frais d'hotel du 08 au 11/04/2025 à Ewo (03nuitées) "/>
    <s v="Travel Subsistence"/>
    <s v="Investigations"/>
    <n v="45000"/>
    <n v="77.199013911262313"/>
    <n v="582.90899999999999"/>
    <s v="T73"/>
    <s v="T73-A-R3"/>
    <s v="PALF"/>
    <x v="5"/>
    <s v="Congo"/>
    <m/>
    <m/>
    <m/>
  </r>
  <r>
    <x v="88"/>
    <s v="Achat billet  Ewo - Oyo/T73"/>
    <s v="Transport"/>
    <s v="Investigations"/>
    <n v="8000"/>
    <n v="13.724269139779965"/>
    <n v="582.90899999999999"/>
    <s v="T73"/>
    <s v="T73-A-R4"/>
    <s v="PALF"/>
    <x v="5"/>
    <s v="Congo"/>
    <m/>
    <m/>
    <m/>
  </r>
  <r>
    <x v="88"/>
    <s v="G12-CONGO Frais d'hotel du 08 au 11/04/2025 à Pointe Noire (03 Nuitées)"/>
    <s v="Travel Subsistence"/>
    <s v="Investigations"/>
    <n v="45000"/>
    <n v="77.199013911262313"/>
    <n v="582.90899999999999"/>
    <s v="G12"/>
    <s v="G12-A-R3"/>
    <s v="PALF"/>
    <x v="5"/>
    <s v="Congo"/>
    <m/>
    <m/>
    <m/>
  </r>
  <r>
    <x v="88"/>
    <s v="Achat billet  Pointe Noire - Madingo kayes/G12"/>
    <s v="Transport"/>
    <s v="Investigations"/>
    <n v="5000"/>
    <n v="8.5776682123624788"/>
    <n v="582.90899999999999"/>
    <s v="G12"/>
    <s v="G12-A-R4"/>
    <s v="PALF"/>
    <x v="5"/>
    <s v="Congo"/>
    <m/>
    <m/>
    <m/>
  </r>
  <r>
    <x v="88"/>
    <s v="Romain-CONGO Frais  d'Hôtel du 09 au 11/04/2025 à Pointe-Noire (02 nuitées)"/>
    <s v="Travel Subsistence"/>
    <s v="Legal"/>
    <n v="30000"/>
    <n v="51.466009274174873"/>
    <n v="582.90899999999999"/>
    <s v="Romain"/>
    <s v="RM-A-R3"/>
    <s v="PALF"/>
    <x v="5"/>
    <s v="Congo"/>
    <m/>
    <m/>
    <m/>
  </r>
  <r>
    <x v="88"/>
    <s v="Frais de transfert d'argent à Romain, Donald, Roderlin,  P29 et IT87"/>
    <s v="Transfer Fees"/>
    <s v="Office"/>
    <n v="14710"/>
    <n v="25.235499880770412"/>
    <n v="582.90899999999999"/>
    <s v="Abraham"/>
    <s v="CA-A-R17"/>
    <s v="PALF"/>
    <x v="5"/>
    <s v="Congo"/>
    <m/>
    <m/>
    <m/>
  </r>
  <r>
    <x v="88"/>
    <s v="Cumul frais de jail visit du mois d'Avril 2025/Roderlin"/>
    <s v="Jail visit"/>
    <s v="Legal"/>
    <n v="6000"/>
    <n v="10.293201854834974"/>
    <n v="582.90899999999999"/>
    <s v="Roderlin"/>
    <s v="RO-A-D3"/>
    <s v="PALF"/>
    <x v="5"/>
    <s v="Congo"/>
    <m/>
    <m/>
    <m/>
  </r>
  <r>
    <x v="88"/>
    <s v="DONALD ROMEO-CONGO Frais d'hôtel du 09 au 11/04/2025 à Pointe-Noire (02 Nuitées)"/>
    <s v="Travel Subsistence"/>
    <s v="Legal"/>
    <n v="30000"/>
    <n v="51.466009274174873"/>
    <n v="582.90899999999999"/>
    <s v="Donald-Romeo"/>
    <s v="DR-A-R5"/>
    <s v="PALF"/>
    <x v="5"/>
    <s v="Congo"/>
    <m/>
    <m/>
    <m/>
  </r>
  <r>
    <x v="88"/>
    <s v="Evariste-CONGO Ration du 11 au 18 Avril 2025 à Madingou"/>
    <s v="Travel Subsistence"/>
    <s v="Media"/>
    <n v="70000"/>
    <n v="120.0873549730747"/>
    <n v="582.90899999999999"/>
    <s v="Evariste"/>
    <s v="EV-A-D1"/>
    <s v="PALF"/>
    <x v="5"/>
    <s v="Congo"/>
    <m/>
    <m/>
    <m/>
  </r>
  <r>
    <x v="89"/>
    <s v="Roderlin-CONGO frais d'hôtel du 10 au 12/04/2025 à Sibiti (02 nuitées)"/>
    <s v="Travel Subsistence"/>
    <s v="Legal"/>
    <n v="30000"/>
    <n v="51.466009274174873"/>
    <n v="582.90899999999999"/>
    <s v="Roderlin"/>
    <s v="RO-A-R6"/>
    <s v="PALF"/>
    <x v="5"/>
    <s v="Congo"/>
    <m/>
    <m/>
    <m/>
  </r>
  <r>
    <x v="89"/>
    <s v="Achat billet Sibiti-Nkayi/ Roderlin"/>
    <s v="Transport"/>
    <s v="Legal"/>
    <n v="5000"/>
    <n v="8.5776682123624788"/>
    <n v="582.90899999999999"/>
    <s v="Roderlin"/>
    <s v="RO-A-R7"/>
    <s v="PALF"/>
    <x v="5"/>
    <s v="Congo"/>
    <m/>
    <m/>
    <m/>
  </r>
  <r>
    <x v="89"/>
    <s v="Achat billet Nkayi-Madingou/Roderlin"/>
    <s v="Transport"/>
    <s v="Legal"/>
    <n v="2000"/>
    <n v="3.4310672849449912"/>
    <n v="582.90899999999999"/>
    <s v="Roderlin"/>
    <s v="RO-A-R8"/>
    <s v="PALF"/>
    <x v="5"/>
    <s v="Congo"/>
    <m/>
    <m/>
    <m/>
  </r>
  <r>
    <x v="90"/>
    <s v="CREPIN-CONGO Frais l'hôtel  du 11 au 13/04/2025 à Madingou(02 Nuitées)"/>
    <s v="Travel Subsistence"/>
    <s v="Legal"/>
    <n v="30000"/>
    <n v="51.466009274174873"/>
    <n v="582.90899999999999"/>
    <s v="Crépin"/>
    <s v="CR-A-R4"/>
    <s v="PALF"/>
    <x v="5"/>
    <s v="Congo"/>
    <m/>
    <m/>
    <m/>
  </r>
  <r>
    <x v="90"/>
    <s v="P29 -CONGO Frais d'hotel du 04 au 13/04/2025 à Madingou (09 Nuitées)"/>
    <s v="Travel Subsistence"/>
    <s v="Investigations"/>
    <n v="135000"/>
    <n v="231.59704173378694"/>
    <n v="582.90899999999999"/>
    <s v="P29"/>
    <s v="P29-A-R2"/>
    <s v="PALF"/>
    <x v="5"/>
    <s v="Congo"/>
    <m/>
    <m/>
    <m/>
  </r>
  <r>
    <x v="90"/>
    <s v="T73 - CONGO Frais d'hotel du 11 au 13/04/20225 à Oyo (02 nuitées) "/>
    <s v="Travel Subsistence"/>
    <s v="Investigations"/>
    <n v="30000"/>
    <n v="51.466009274174873"/>
    <n v="582.90899999999999"/>
    <s v="T73"/>
    <s v="T73-A-R5"/>
    <s v="PALF"/>
    <x v="5"/>
    <s v="Congo"/>
    <m/>
    <m/>
    <m/>
  </r>
  <r>
    <x v="90"/>
    <s v="Achat billet  Oyo - Boundji /T73"/>
    <s v="Transport"/>
    <s v="Investigations"/>
    <n v="5000"/>
    <n v="8.5776682123624788"/>
    <n v="582.90899999999999"/>
    <s v="T73"/>
    <s v="T73-A-R6"/>
    <s v="PALF"/>
    <x v="5"/>
    <s v="Congo"/>
    <m/>
    <m/>
    <m/>
  </r>
  <r>
    <x v="90"/>
    <s v="G12-CONGO frais d'hotel du 11 au 13 /04/2025 à Madingo kayes (02 Nuitées) "/>
    <s v="Travel Subsistence"/>
    <s v="Investigations"/>
    <n v="30000"/>
    <n v="51.466009274174873"/>
    <n v="582.90899999999999"/>
    <s v="G12"/>
    <s v="G12-A-R5"/>
    <s v="PALF"/>
    <x v="5"/>
    <s v="Congo"/>
    <m/>
    <m/>
    <m/>
  </r>
  <r>
    <x v="90"/>
    <s v="Achat billet  Madingo kayes - Nzassi/G12"/>
    <s v="Transport"/>
    <s v="Investigations"/>
    <n v="8000"/>
    <n v="13.724269139779965"/>
    <n v="582.90899999999999"/>
    <s v="G12"/>
    <s v="G12-A-R6"/>
    <s v="PALF"/>
    <x v="5"/>
    <s v="Congo"/>
    <m/>
    <m/>
    <m/>
  </r>
  <r>
    <x v="91"/>
    <s v="G12-CONGO Frais d'hotel du 13 au 14 /04 /2025  à nzassi (01 Nuitée) "/>
    <s v="Travel Subsistence"/>
    <s v="Investigations"/>
    <n v="15000"/>
    <n v="25.733004637087436"/>
    <n v="582.90899999999999"/>
    <s v="G12"/>
    <s v="G12-A-R7"/>
    <s v="PALF"/>
    <x v="5"/>
    <s v="Congo"/>
    <m/>
    <m/>
    <m/>
  </r>
  <r>
    <x v="91"/>
    <s v="Achat billet  Nzassi - Pointe Noire/G12"/>
    <s v="Transport"/>
    <s v="Investigations"/>
    <n v="3000"/>
    <n v="5.1466009274174871"/>
    <n v="582.90899999999999"/>
    <s v="G12"/>
    <s v="G12-A-R8"/>
    <s v="PALF"/>
    <x v="5"/>
    <s v="Congo"/>
    <m/>
    <m/>
    <m/>
  </r>
  <r>
    <x v="91"/>
    <s v="Achat billet Pointe Noire - Brazzaville "/>
    <s v="Transport"/>
    <s v="Investigations"/>
    <n v="10000"/>
    <n v="17.155336424724958"/>
    <n v="582.90899999999999"/>
    <s v="G12"/>
    <s v="G12-A-R9"/>
    <s v="PALF"/>
    <x v="5"/>
    <s v="Congo"/>
    <m/>
    <m/>
    <m/>
  </r>
  <r>
    <x v="91"/>
    <s v="Achat billet Brazzaville-Owando/Abraham"/>
    <s v="Transport"/>
    <s v="Legal"/>
    <n v="7000"/>
    <n v="12.00873549730747"/>
    <n v="582.90899999999999"/>
    <s v="Abraham"/>
    <s v="AB-A-R1"/>
    <s v="PALF"/>
    <x v="5"/>
    <s v="Congo"/>
    <m/>
    <m/>
    <m/>
  </r>
  <r>
    <x v="91"/>
    <s v="Frais de transfert d'argent à Crépin, Evarste,  P29 et IT87"/>
    <s v="Transfer Fees"/>
    <s v="Office"/>
    <n v="14390"/>
    <n v="24.686529115179212"/>
    <n v="582.90899999999999"/>
    <s v="Abraham"/>
    <s v="CA-A-R19"/>
    <s v="PALF"/>
    <x v="5"/>
    <s v="Congo"/>
    <m/>
    <m/>
    <m/>
  </r>
  <r>
    <x v="91"/>
    <s v="Frais de transport mission Maitre Alain à Owando du 16 au 18/04/2025"/>
    <s v="Transport"/>
    <s v="Legal"/>
    <n v="20000"/>
    <n v="34.310672849449915"/>
    <n v="582.90899999999999"/>
    <s v="Abraham"/>
    <s v="CA-A-R20"/>
    <s v="PALF"/>
    <x v="5"/>
    <s v="Congo"/>
    <m/>
    <m/>
    <m/>
  </r>
  <r>
    <x v="91"/>
    <s v="Ration et frais d'hotel mission maitre Alain à Owando du 16 au 18/04/2025"/>
    <s v="Travel Subsistence"/>
    <s v="Legal"/>
    <n v="50000"/>
    <n v="85.776682123624781"/>
    <n v="582.90899999999999"/>
    <s v="Abraham"/>
    <s v="CA-A-R21"/>
    <s v="PALF"/>
    <x v="5"/>
    <s v="Congo"/>
    <m/>
    <m/>
    <m/>
  </r>
  <r>
    <x v="91"/>
    <s v="Frais de transport mission Maitre Hélene à Owando du 16 au 18/04/2025"/>
    <s v="Transport"/>
    <s v="Legal"/>
    <n v="20000"/>
    <n v="34.310672849449915"/>
    <n v="582.90899999999999"/>
    <s v="Abraham"/>
    <s v="CA-A-R22"/>
    <s v="PALF"/>
    <x v="5"/>
    <s v="Congo"/>
    <m/>
    <m/>
    <m/>
  </r>
  <r>
    <x v="91"/>
    <s v="Ration et frais d'hotel mission maitre Hélene à Owando du 16 au 18/04/2025"/>
    <s v="Travel Subsistence"/>
    <s v="Legal"/>
    <n v="50000"/>
    <n v="85.776682123624781"/>
    <n v="582.90899999999999"/>
    <s v="Abraham"/>
    <s v="CA-A-R23"/>
    <s v="PALF"/>
    <x v="5"/>
    <s v="Congo"/>
    <m/>
    <m/>
    <m/>
  </r>
  <r>
    <x v="91"/>
    <s v="Paiement CNSS premier trimestre/Janvier,Février et Mars 2025/Crepin /3654848"/>
    <s v="Personnel"/>
    <s v="Legal"/>
    <n v="368700"/>
    <n v="632.51725397960922"/>
    <n v="582.90899999999999"/>
    <s v="BCI"/>
    <s v="BQ-A-R3"/>
    <s v="PALF"/>
    <x v="5"/>
    <s v="Congo"/>
    <m/>
    <m/>
    <m/>
  </r>
  <r>
    <x v="91"/>
    <s v="Paiement CNSS premier trimestre/Janvier,Février et Mars 2025/Donald-Roméo/3654848"/>
    <s v="Personnel"/>
    <s v="Legal"/>
    <n v="107230"/>
    <n v="183.95667248232573"/>
    <n v="582.90899999999999"/>
    <s v="BCI"/>
    <s v="BQ-A-R4"/>
    <s v="PALF"/>
    <x v="5"/>
    <s v="Congo"/>
    <m/>
    <m/>
    <m/>
  </r>
  <r>
    <x v="91"/>
    <s v="Paiement CNSS premier trimestre/Janvier,Février et Mars 2025/Romain/3654848"/>
    <s v="Personnel"/>
    <s v="Legal"/>
    <n v="103494"/>
    <n v="177.54743879404847"/>
    <n v="582.90899999999999"/>
    <s v="BCI"/>
    <s v="BQ-A-R5"/>
    <s v="PALF"/>
    <x v="5"/>
    <s v="Congo"/>
    <m/>
    <m/>
    <m/>
  </r>
  <r>
    <x v="91"/>
    <s v="Paiement CNSS premier trimestre/Janvier,Février et Mars 2025/Roderlin/3654848"/>
    <s v="Personnel"/>
    <s v="Legal"/>
    <n v="103494"/>
    <n v="177.54743879404847"/>
    <n v="582.90899999999999"/>
    <s v="BCI"/>
    <s v="BQ-A-R6"/>
    <s v="PALF"/>
    <x v="5"/>
    <s v="Congo"/>
    <m/>
    <m/>
    <m/>
  </r>
  <r>
    <x v="91"/>
    <s v="Paiement CNSS premier trimestre/Janvier,Février et Mars 2025/Abraham/3654848"/>
    <s v="Personnel"/>
    <s v="Legal"/>
    <n v="103494"/>
    <n v="177.54743879404847"/>
    <n v="582.90899999999999"/>
    <s v="BCI"/>
    <s v="BQ-A-R7"/>
    <s v="PALF"/>
    <x v="5"/>
    <s v="Congo"/>
    <m/>
    <m/>
    <m/>
  </r>
  <r>
    <x v="91"/>
    <s v="Paiement CNSS premier trimestre/Janvier,Février et Mars 2025/Parfaite/3654848"/>
    <s v="Personnel"/>
    <s v="Office"/>
    <n v="65179"/>
    <n v="111.81676728271479"/>
    <n v="582.90899999999999"/>
    <s v="BCI"/>
    <s v="BQ-A-R8"/>
    <s v="PALF"/>
    <x v="5"/>
    <s v="Congo"/>
    <m/>
    <m/>
    <m/>
  </r>
  <r>
    <x v="91"/>
    <s v="Paiement CNSS premier trimestre/Janvier,Février et Mars 2025/Merveille/3654848"/>
    <s v="Personnel"/>
    <s v="Office"/>
    <n v="256525"/>
    <n v="440.07726763525699"/>
    <n v="582.90899999999999"/>
    <s v="BCI"/>
    <s v="BQ-A-R9"/>
    <s v="PALF"/>
    <x v="5"/>
    <s v="Congo"/>
    <m/>
    <m/>
    <m/>
  </r>
  <r>
    <x v="91"/>
    <s v="Paiement CNSS premier trimestre/Janvier,Février et Mars 2025/Evariste/3654848"/>
    <s v="Personnel"/>
    <s v="Media"/>
    <n v="127560"/>
    <n v="218.83347143379154"/>
    <n v="582.90899999999999"/>
    <s v="BCI"/>
    <s v="BQ-A-R10"/>
    <s v="PALF"/>
    <x v="5"/>
    <s v="Congo"/>
    <m/>
    <m/>
    <m/>
  </r>
  <r>
    <x v="92"/>
    <s v="Frais de nettoyage caniveau bureau PALF"/>
    <s v="Services"/>
    <s v="Office"/>
    <n v="11000"/>
    <n v="18.870870067197455"/>
    <n v="582.90899999999999"/>
    <s v="DOVI"/>
    <s v="CA-A-D15"/>
    <s v="PALF"/>
    <x v="5"/>
    <s v="Congo"/>
    <m/>
    <m/>
    <m/>
  </r>
  <r>
    <x v="92"/>
    <s v="Règlement facture d'eau du mois de Janv, Fév, Mars, Avril  2025 bureau PALF"/>
    <s v="Rent &amp; Utilities"/>
    <s v="Office"/>
    <n v="25500"/>
    <n v="43.746107883048644"/>
    <n v="582.90899999999999"/>
    <s v="Parfaite"/>
    <s v="CA-A-R24"/>
    <s v="PALF"/>
    <x v="5"/>
    <s v="Congo"/>
    <m/>
    <m/>
    <m/>
  </r>
  <r>
    <x v="92"/>
    <s v="Frais de transfert d'argent à P29 et IT87"/>
    <s v="Transfer Fees"/>
    <s v="Office"/>
    <n v="5950"/>
    <n v="10.20742517271135"/>
    <n v="582.90899999999999"/>
    <s v="Parfaite"/>
    <s v="CA-A-R25"/>
    <s v="PALF"/>
    <x v="5"/>
    <s v="Congo"/>
    <m/>
    <m/>
    <m/>
  </r>
  <r>
    <x v="92"/>
    <s v="Achat credit  teléphonique MTN/PALF/Deuxième partie du mois d'Avril2025/Management"/>
    <s v="Telephone"/>
    <s v="Management"/>
    <n v="20000"/>
    <n v="34.310672849449915"/>
    <n v="582.90899999999999"/>
    <s v="Parfaite"/>
    <s v="CA-A-R26"/>
    <s v="PALF"/>
    <x v="5"/>
    <s v="Congo"/>
    <m/>
    <m/>
    <m/>
  </r>
  <r>
    <x v="92"/>
    <s v="Achat credit  teléphonique MTN/PALF/Deuxième partie du mois d'Avril 2025/Legal"/>
    <s v="Telephone"/>
    <s v="Legal"/>
    <n v="40000"/>
    <n v="68.62134569889983"/>
    <n v="582.90899999999999"/>
    <s v="Parfaite"/>
    <s v="CA-A-R27"/>
    <s v="PALF"/>
    <x v="5"/>
    <s v="Congo"/>
    <m/>
    <m/>
    <m/>
  </r>
  <r>
    <x v="92"/>
    <s v="Achat credit  teléphonique MTN/PALF/Deuxième partie du mois d'Avril 2025/Investigation"/>
    <s v="Telephone"/>
    <s v="Investigations"/>
    <n v="55000"/>
    <n v="94.354350335987263"/>
    <n v="582.90899999999999"/>
    <s v="Parfaite"/>
    <s v="CA-A-R28"/>
    <s v="PALF"/>
    <x v="5"/>
    <s v="Congo"/>
    <m/>
    <m/>
    <m/>
  </r>
  <r>
    <x v="92"/>
    <s v="Achat credit  teléphonique MTN/PALF/deuxième partie du mois d'Avril 2025/Media"/>
    <s v="Telephone"/>
    <s v="Media"/>
    <n v="10000"/>
    <n v="17.155336424724958"/>
    <n v="582.90899999999999"/>
    <s v="Parfaite"/>
    <s v="CA-A-R29"/>
    <s v="PALF"/>
    <x v="5"/>
    <s v="Congo"/>
    <m/>
    <m/>
    <m/>
  </r>
  <r>
    <x v="92"/>
    <s v="Achat credit  teléphonique Airtel/PALF/Deuxième partie du mois d'Avril 2025/Legal"/>
    <s v="Telephone"/>
    <s v="Legal"/>
    <n v="10000"/>
    <n v="17.155336424724958"/>
    <n v="582.90899999999999"/>
    <s v="Parfaite"/>
    <s v="CA-A-R30"/>
    <s v="PALF"/>
    <x v="5"/>
    <s v="Congo"/>
    <m/>
    <m/>
    <m/>
  </r>
  <r>
    <x v="92"/>
    <s v="Achat credit  teléphonique Airtel/PALF/Deuxième partie du mois d'Avril 2025/Investigation"/>
    <s v="Telephone"/>
    <s v="Investigations"/>
    <n v="5000"/>
    <n v="8.5776682123624788"/>
    <n v="582.90899999999999"/>
    <s v="Parfaite"/>
    <s v="CA-A-R31"/>
    <s v="PALF"/>
    <x v="5"/>
    <s v="Congo"/>
    <m/>
    <m/>
    <m/>
  </r>
  <r>
    <x v="92"/>
    <s v="T73 - CONGO Frais d'hotel du 13 au 15/04/20225 à Boundji (02 nuitées) "/>
    <s v="Travel Subsistence"/>
    <s v="Investigations"/>
    <n v="30000"/>
    <n v="51.466009274174873"/>
    <n v="582.90899999999999"/>
    <s v="T73"/>
    <s v="T73-A-R7"/>
    <s v="PALF"/>
    <x v="5"/>
    <s v="Congo"/>
    <m/>
    <m/>
    <m/>
  </r>
  <r>
    <x v="92"/>
    <s v="Achat billet  Boundji - Brazzaville/T73"/>
    <s v="Transport"/>
    <s v="Investigations"/>
    <n v="12000"/>
    <n v="20.586403709669948"/>
    <n v="582.90899999999999"/>
    <s v="T73"/>
    <s v="T73-A-R8"/>
    <s v="PALF"/>
    <x v="5"/>
    <s v="Congo"/>
    <m/>
    <m/>
    <m/>
  </r>
  <r>
    <x v="92"/>
    <s v="G12-CONGO Frais d'hotel du 14 au 15/04/2025 à Pointe Noire (01 Nuitée)"/>
    <s v="Travel Subsistence"/>
    <s v="Investigations"/>
    <n v="15000"/>
    <n v="25.733004637087436"/>
    <n v="582.90899999999999"/>
    <s v="G12"/>
    <s v="G12-A-R10"/>
    <s v="PALF"/>
    <x v="5"/>
    <s v="Congo"/>
    <m/>
    <m/>
    <m/>
  </r>
  <r>
    <x v="93"/>
    <s v="ABRAHAM - CONGO Ration du 16 au 18/04/2025 à Owando (02 Nuitées) "/>
    <s v="Travel Subsistence"/>
    <s v="Legal"/>
    <n v="20000"/>
    <n v="34.310672849449915"/>
    <n v="582.90899999999999"/>
    <s v="Abraham"/>
    <s v="AB-A-D1"/>
    <s v="PALF"/>
    <x v="5"/>
    <s v="Congo"/>
    <m/>
    <m/>
    <m/>
  </r>
  <r>
    <x v="94"/>
    <s v="Frais de transfert d'argent à crépin, Evarste,  romain, roderlin et donald-roméo"/>
    <s v="Transfer Fees"/>
    <s v="Office"/>
    <n v="7500"/>
    <n v="12.866502318543718"/>
    <n v="582.90899999999999"/>
    <s v="G12"/>
    <s v="CA-A-R32"/>
    <s v="PALF"/>
    <x v="5"/>
    <s v="Congo"/>
    <m/>
    <m/>
    <m/>
  </r>
  <r>
    <x v="95"/>
    <s v="Achat billet Madingou-Brazzaville/P29"/>
    <s v="Transport"/>
    <s v="Investigations"/>
    <n v="7000"/>
    <n v="12.00873549730747"/>
    <n v="582.90899999999999"/>
    <s v="P29"/>
    <s v="P29-A-R3"/>
    <s v="PALF"/>
    <x v="5"/>
    <s v="Congo"/>
    <m/>
    <m/>
    <m/>
  </r>
  <r>
    <x v="95"/>
    <s v="Achat billet Madingou - Brazzaville/ IT87"/>
    <s v="Transport"/>
    <s v="Investigations"/>
    <n v="7000"/>
    <n v="12.00873549730747"/>
    <n v="582.90899999999999"/>
    <s v="IT87"/>
    <s v="IT87-A-R2"/>
    <s v="PALF"/>
    <x v="5"/>
    <s v="Congo"/>
    <m/>
    <m/>
    <m/>
  </r>
  <r>
    <x v="95"/>
    <s v="Achat billet Madingou-Brazzaville/Romain"/>
    <s v="Transport"/>
    <s v="Legal"/>
    <n v="7000"/>
    <n v="12.00873549730747"/>
    <n v="582.90899999999999"/>
    <s v="Romain"/>
    <s v="RM-A-R4"/>
    <s v="PALF"/>
    <x v="5"/>
    <s v="Congo"/>
    <m/>
    <m/>
    <m/>
  </r>
  <r>
    <x v="95"/>
    <s v="Achat billet Owando-Brazzaville/Abraham"/>
    <s v="Transport"/>
    <s v="Legal"/>
    <n v="7000"/>
    <n v="12.00873549730747"/>
    <n v="582.90899999999999"/>
    <s v="Abraham"/>
    <s v="AB-A-R2"/>
    <s v="PALF"/>
    <x v="5"/>
    <s v="Congo"/>
    <m/>
    <m/>
    <m/>
  </r>
  <r>
    <x v="95"/>
    <s v="Achat billet Madingou-Brazzaville/ Roderlin"/>
    <s v="Transport"/>
    <s v="Legal"/>
    <n v="7000"/>
    <n v="12.00873549730747"/>
    <n v="582.90899999999999"/>
    <s v="Roderlin"/>
    <s v="RO-A-R9"/>
    <s v="PALF"/>
    <x v="5"/>
    <s v="Congo"/>
    <m/>
    <m/>
    <m/>
  </r>
  <r>
    <x v="95"/>
    <s v="Achat billet Madingou-Brazzaville/ Donald-Roméo"/>
    <s v="Transport "/>
    <s v="Legal"/>
    <n v="7000"/>
    <n v="12.00873549730747"/>
    <n v="582.90899999999999"/>
    <s v="Donald-Romeo"/>
    <s v="DR-A-R6"/>
    <s v="PALF"/>
    <x v="5"/>
    <s v="Congo"/>
    <m/>
    <m/>
    <m/>
  </r>
  <r>
    <x v="95"/>
    <s v="Achat billet Madingou-Brazzaville/Crepin"/>
    <s v="Transport"/>
    <s v="Legal"/>
    <n v="7000"/>
    <n v="12.00873549730747"/>
    <n v="582.90899999999999"/>
    <s v="Crépin"/>
    <s v="CR-A-R5"/>
    <s v="PALF"/>
    <x v="5"/>
    <s v="Congo"/>
    <m/>
    <m/>
    <m/>
  </r>
  <r>
    <x v="95"/>
    <s v="IT87 - CONGO Frais d'hôtel  du 04 au 18/04/2025 à Madingou (14 nuitées)"/>
    <s v="Travel Subsistence"/>
    <s v="Investigations"/>
    <n v="210000"/>
    <n v="360.26206491922409"/>
    <n v="582.90899999999999"/>
    <s v="IT87"/>
    <s v="IT87-A-R3"/>
    <s v="PALF"/>
    <x v="5"/>
    <s v="Congo"/>
    <m/>
    <m/>
    <m/>
  </r>
  <r>
    <x v="95"/>
    <s v="Cumul frais de transport local du mois d'Avril 2025/IT87"/>
    <s v="Transport"/>
    <s v="Investigations"/>
    <n v="34300"/>
    <n v="58.842803936806604"/>
    <n v="582.90899999999999"/>
    <s v="IT87"/>
    <s v="IT87-A-D3"/>
    <s v="PALF"/>
    <x v="5"/>
    <s v="Congo"/>
    <m/>
    <m/>
    <m/>
  </r>
  <r>
    <x v="95"/>
    <s v="Romain- CONGO Frais  d'Hôtel du 11 au 18/04//2025 à Madingou  (07 nuités)"/>
    <s v="Travel Subsistence"/>
    <s v="Legal"/>
    <n v="105000"/>
    <n v="180.13103245961204"/>
    <n v="582.90899999999999"/>
    <s v="Romain"/>
    <s v="RM-A-R5"/>
    <s v="PALF"/>
    <x v="5"/>
    <s v="Congo"/>
    <m/>
    <m/>
    <m/>
  </r>
  <r>
    <x v="95"/>
    <s v="ABRAHAM - CONGO Frais d'Hôtel du 16 au 17/04/2025 à Owando (02 Nuitées)"/>
    <s v="Travel Subsistence"/>
    <s v="Legal"/>
    <n v="30000"/>
    <n v="51.466009274174873"/>
    <n v="582.90899999999999"/>
    <s v="Abraham"/>
    <s v="AB-A-R3"/>
    <s v="PALF"/>
    <x v="5"/>
    <s v="Congo"/>
    <m/>
    <m/>
    <m/>
  </r>
  <r>
    <x v="95"/>
    <s v="Roderlin-CONGO frais d'hôtel du 12 au 18/04/2025 à Madingou (06 nuitées)"/>
    <s v="Travel Subsistence"/>
    <s v="Legal"/>
    <n v="90000"/>
    <n v="154.39802782252463"/>
    <n v="582.90899999999999"/>
    <s v="Roderlin"/>
    <s v="RO-A-R10"/>
    <s v="PALF"/>
    <x v="5"/>
    <s v="Congo"/>
    <m/>
    <m/>
    <m/>
  </r>
  <r>
    <x v="95"/>
    <s v="DONALD ROMEO- CONGO Frais d'hôtel du  11 au 18/04/2025 à Madingou (07 Nuitées)"/>
    <s v="Travel Subsistence"/>
    <s v="Legal"/>
    <n v="105000"/>
    <n v="180.13103245961204"/>
    <n v="582.90899999999999"/>
    <s v="Donald-Romeo"/>
    <s v="DR-A-R7"/>
    <s v="PALF"/>
    <x v="5"/>
    <s v="Congo"/>
    <m/>
    <m/>
    <m/>
  </r>
  <r>
    <x v="95"/>
    <s v="Achat Billet Madingou-Brazzaville/Evariste"/>
    <s v="Transport"/>
    <s v="Media"/>
    <n v="7000"/>
    <n v="12.00873549730747"/>
    <n v="582.90899999999999"/>
    <s v="Evariste"/>
    <s v="EV-A-R2"/>
    <s v="PALF"/>
    <x v="5"/>
    <s v="Congo"/>
    <m/>
    <m/>
    <m/>
  </r>
  <r>
    <x v="95"/>
    <s v="Evariste-CONGO Frais de l'hôtel du 11 au 18 Avril 2025 à Madingou ( 7 nuitées)"/>
    <s v="Travel Subsistence"/>
    <s v="Media"/>
    <n v="105000"/>
    <n v="180.13103245961204"/>
    <n v="582.90899999999999"/>
    <s v="Evariste"/>
    <s v="EV-A-R3"/>
    <s v="PALF"/>
    <x v="5"/>
    <s v="Congo"/>
    <m/>
    <m/>
    <m/>
  </r>
  <r>
    <x v="96"/>
    <s v="P29 -CONGO Frais d'hotel du 13 au 19/04/2025 à Madingou lieu OP1(P29) (06 Nuitées)"/>
    <s v="Travel Subsistence"/>
    <s v="Investigations"/>
    <n v="150000"/>
    <n v="257.33004637087436"/>
    <n v="582.90899999999999"/>
    <s v="P29"/>
    <s v="P29-A-R4"/>
    <s v="PALF"/>
    <x v="5"/>
    <s v="Congo"/>
    <m/>
    <m/>
    <m/>
  </r>
  <r>
    <x v="96"/>
    <s v="P29 -CONGO Frais d'hotel du 13 au 19/04/2025 à Madingou lieu OP 2(Crépin) (06 Nuitées)"/>
    <s v="Travel Subsistence"/>
    <s v="Investigations"/>
    <n v="150000"/>
    <n v="257.33004637087436"/>
    <n v="582.90899999999999"/>
    <s v="P29"/>
    <s v="P29-A-R5"/>
    <s v="PALF"/>
    <x v="5"/>
    <s v="Congo"/>
    <m/>
    <m/>
    <m/>
  </r>
  <r>
    <x v="97"/>
    <s v="Déjeûner des agents du PALF"/>
    <s v="Personnel"/>
    <s v="Team Building"/>
    <n v="55500"/>
    <n v="95.212117157223517"/>
    <n v="582.90899999999999"/>
    <s v="DOVI"/>
    <s v="CA-A-R33"/>
    <s v="PALF"/>
    <x v="5"/>
    <s v="Congo"/>
    <m/>
    <m/>
    <m/>
  </r>
  <r>
    <x v="98"/>
    <s v="Reglement honoraire du mois d'Avril 2025/IT87/3654843"/>
    <s v="Personnel"/>
    <s v="Investigations"/>
    <n v="255000"/>
    <n v="437.46107883048643"/>
    <n v="582.90899999999999"/>
    <s v="BCI"/>
    <s v="BQ-A-R11"/>
    <s v="PALF"/>
    <x v="5"/>
    <s v="Congo"/>
    <m/>
    <m/>
    <m/>
  </r>
  <r>
    <x v="98"/>
    <s v="Solde  honoraire contrat n°83 Dolisie cas NDOHO et NGOMA/ Maître BANZOUZI Alain/3654845"/>
    <s v="Lawyer Fees"/>
    <s v="Legal"/>
    <n v="300000"/>
    <n v="514.66009274174871"/>
    <n v="579.64599999999996"/>
    <s v="BCI"/>
    <s v="BQ-A-R12"/>
    <s v="PALF"/>
    <x v="1"/>
    <s v="Congo"/>
    <m/>
    <m/>
    <m/>
  </r>
  <r>
    <x v="98"/>
    <s v="Solde  honoraire contrat n°55 Brazzaville cas / Maître MALONGA Marie Hélène/3654844"/>
    <s v="Transport"/>
    <s v="Legal"/>
    <n v="300000"/>
    <n v="514.66009274174871"/>
    <n v="582.90899999999999"/>
    <s v="BCI"/>
    <s v="BQ-A-R13"/>
    <s v="PALF"/>
    <x v="5"/>
    <s v="Congo"/>
    <m/>
    <m/>
    <m/>
  </r>
  <r>
    <x v="99"/>
    <s v="Frais de carte de travail Donald-roméo"/>
    <s v="Personnel"/>
    <s v="Office"/>
    <n v="10500"/>
    <n v="18.013103245961204"/>
    <n v="582.90899999999999"/>
    <s v="Parfaite"/>
    <s v="CA-A-R36"/>
    <s v="PALF"/>
    <x v="5"/>
    <s v="Congo"/>
    <m/>
    <m/>
    <m/>
  </r>
  <r>
    <x v="99"/>
    <s v="Cumul frais de transport local du mois d'Avril 2025/Abraham"/>
    <s v="Transport"/>
    <s v="Legal"/>
    <n v="37750"/>
    <n v="64.761395003336716"/>
    <n v="582.90899999999999"/>
    <s v="Abraham"/>
    <s v="AB-A-D2"/>
    <s v="PALF"/>
    <x v="5"/>
    <s v="Congo"/>
    <m/>
    <m/>
    <m/>
  </r>
  <r>
    <x v="99"/>
    <s v="Achat carburant groupe electrogène Bureau"/>
    <s v="Office Materials"/>
    <s v="Office"/>
    <n v="31250"/>
    <n v="53.610426327265493"/>
    <n v="582.90899999999999"/>
    <s v="Abraham"/>
    <s v="CA-A-R35"/>
    <s v="PALF"/>
    <x v="5"/>
    <s v="Congo"/>
    <m/>
    <m/>
    <m/>
  </r>
  <r>
    <x v="99"/>
    <s v="Achat carburant groupe élèctrogène Bureau"/>
    <s v="Office Materials"/>
    <s v="Office"/>
    <n v="31250"/>
    <n v="53.610426327265493"/>
    <n v="582.90899999999999"/>
    <s v="Roderlin"/>
    <s v="CA-A-R34"/>
    <s v="PALF"/>
    <x v="5"/>
    <s v="Congo"/>
    <m/>
    <m/>
    <m/>
  </r>
  <r>
    <x v="99"/>
    <s v="Frais d'impression sur bâche"/>
    <s v="Office Materials"/>
    <s v="Office"/>
    <n v="20000"/>
    <n v="34.310672849449915"/>
    <n v="582.90899999999999"/>
    <s v="Evariste"/>
    <s v="CA-A-R37"/>
    <s v="PALF"/>
    <x v="5"/>
    <s v="Congo"/>
    <m/>
    <m/>
    <m/>
  </r>
  <r>
    <x v="100"/>
    <s v="Bonus à un informateur en RDC"/>
    <s v="Trust Building"/>
    <s v="Investigations"/>
    <n v="50000"/>
    <n v="85.776682123624781"/>
    <n v="582.90899999999999"/>
    <s v="DOVI"/>
    <s v="CA-A-R39"/>
    <s v="PALF"/>
    <x v="5"/>
    <s v="Congo"/>
    <m/>
    <m/>
    <m/>
  </r>
  <r>
    <x v="100"/>
    <s v=" frais de ramassage Ordure Avril 2025"/>
    <s v="Services"/>
    <s v="Office"/>
    <n v="8000"/>
    <n v="13.724269139779965"/>
    <n v="582.90899999999999"/>
    <s v="Parfaite"/>
    <s v="CA-A-R38"/>
    <s v="PALF"/>
    <x v="5"/>
    <s v="Congo"/>
    <m/>
    <m/>
    <m/>
  </r>
  <r>
    <x v="100"/>
    <s v="Cumul frais de frais de transport local du mois d'Avril 2025/P29"/>
    <s v="Transport"/>
    <s v="Investigations"/>
    <n v="48400"/>
    <n v="83.031828295668788"/>
    <n v="582.90899999999999"/>
    <s v="P29"/>
    <s v="P29-A-D2"/>
    <s v="PALF"/>
    <x v="5"/>
    <s v="Congo"/>
    <m/>
    <m/>
    <m/>
  </r>
  <r>
    <x v="100"/>
    <s v="Cumul frais de trust building du mois d'Avril 2025/P29"/>
    <s v="Trust Building"/>
    <s v="Investigations"/>
    <n v="9000"/>
    <n v="15.439802782252462"/>
    <n v="582.90899999999999"/>
    <s v="P29"/>
    <s v="P29-A-D3"/>
    <s v="PALF"/>
    <x v="5"/>
    <s v="Congo"/>
    <m/>
    <m/>
    <m/>
  </r>
  <r>
    <x v="100"/>
    <s v="Cumul frais de trust building du mois d'Avril 2025/T73"/>
    <s v="Trust Building"/>
    <s v="Investigations"/>
    <n v="15000"/>
    <n v="25.733004637087436"/>
    <n v="582.90899999999999"/>
    <s v="T73"/>
    <s v="T73-A-D2"/>
    <s v="PALF"/>
    <x v="5"/>
    <s v="Congo"/>
    <m/>
    <m/>
    <m/>
  </r>
  <r>
    <x v="100"/>
    <s v="Cumul frais de trust building du mois d'Avril 2025/G12"/>
    <s v="Trust Building"/>
    <s v="Investigations"/>
    <n v="10500"/>
    <n v="18.013103245961204"/>
    <n v="582.90899999999999"/>
    <s v="G12"/>
    <s v="G12-A-D2"/>
    <s v="PALF"/>
    <x v="5"/>
    <s v="Congo"/>
    <m/>
    <m/>
    <m/>
  </r>
  <r>
    <x v="100"/>
    <s v="Cumul frais de transport local du mois d'Avril 2025/Romain"/>
    <s v="Transport"/>
    <s v="Legal"/>
    <n v="23600"/>
    <n v="40.486593962350902"/>
    <n v="582.90899999999999"/>
    <s v="Romain"/>
    <s v="RM-A-D3"/>
    <s v="PALF"/>
    <x v="5"/>
    <s v="Congo"/>
    <m/>
    <m/>
    <m/>
  </r>
  <r>
    <x v="100"/>
    <s v="Frais de transport mission Maitre Alain à Owando du 28 au 30/04/2025"/>
    <s v="Transport"/>
    <s v="Legal"/>
    <n v="20000"/>
    <n v="34.310672849449915"/>
    <n v="582.90899999999999"/>
    <s v="Roderlin"/>
    <s v="CA-A-R40"/>
    <s v="PALF"/>
    <x v="5"/>
    <s v="Congo"/>
    <m/>
    <m/>
    <m/>
  </r>
  <r>
    <x v="100"/>
    <s v="Ration et frais d'hotel mission maitre Alain à Owando du 28 au 30/04/2025"/>
    <s v="Travel Subsistence"/>
    <s v="Legal"/>
    <n v="50000"/>
    <n v="85.776682123624781"/>
    <n v="582.90899999999999"/>
    <s v="Roderlin"/>
    <s v="CA-A-R41"/>
    <s v="PALF"/>
    <x v="5"/>
    <s v="Congo"/>
    <m/>
    <m/>
    <m/>
  </r>
  <r>
    <x v="100"/>
    <s v="Frais de transport mission Maitre Hélene à Owando du 28 au 30/04/2025"/>
    <s v="Transport"/>
    <s v="Legal"/>
    <n v="20000"/>
    <n v="34.310672849449915"/>
    <n v="582.90899999999999"/>
    <s v="Roderlin"/>
    <s v="CA-A-R42"/>
    <s v="PALF"/>
    <x v="5"/>
    <s v="Congo"/>
    <m/>
    <m/>
    <m/>
  </r>
  <r>
    <x v="100"/>
    <s v="Ration et frais d'hotel mission maitre Hélene à Owando du 28 au 30/04/2025"/>
    <s v="Travel Subsistence"/>
    <s v="Legal"/>
    <n v="50000"/>
    <n v="85.776682123624781"/>
    <n v="582.90899999999999"/>
    <s v="Roderlin"/>
    <s v="CA-A-R43"/>
    <s v="PALF"/>
    <x v="5"/>
    <s v="Congo"/>
    <m/>
    <m/>
    <m/>
  </r>
  <r>
    <x v="100"/>
    <s v="Frais de transfert Bonus à un informateur en RDC"/>
    <s v="Transfer Fees"/>
    <s v="Office"/>
    <n v="3253"/>
    <n v="5.5806309389630284"/>
    <n v="582.90899999999999"/>
    <s v="Roderlin"/>
    <s v="CA-A-R44"/>
    <s v="PALF"/>
    <x v="5"/>
    <s v="Congo"/>
    <m/>
    <m/>
    <m/>
  </r>
  <r>
    <x v="100"/>
    <s v="Paiement salaire du mois d'Avril 2025/Homéfa DOVI/3654855"/>
    <s v="Personnel"/>
    <s v="Management"/>
    <n v="1311000"/>
    <n v="2249.0646052814418"/>
    <n v="582.90899999999999"/>
    <s v="BCI"/>
    <s v="BQ-A-R14"/>
    <s v="PALF"/>
    <x v="5"/>
    <s v="Congo"/>
    <m/>
    <m/>
    <m/>
  </r>
  <r>
    <x v="100"/>
    <s v="Paiement salaire du mois d'Avril 2025/BAVOUMINA NZOUSSI Dina Parfaite/365854"/>
    <s v="Personnel"/>
    <s v="Office"/>
    <n v="230000"/>
    <n v="394.57273776867402"/>
    <n v="582.90899999999999"/>
    <s v="BCI"/>
    <s v="BQ-A-R15"/>
    <s v="PALF"/>
    <x v="5"/>
    <s v="Congo"/>
    <m/>
    <m/>
    <m/>
  </r>
  <r>
    <x v="100"/>
    <s v="Paiement salaire du mois d'Avril 2025/BOUNGOU MAKOSSO Abraham/3654851"/>
    <s v="Personnel"/>
    <s v="Legal"/>
    <n v="200000"/>
    <n v="343.10672849449912"/>
    <n v="582.90899999999999"/>
    <s v="BCI"/>
    <s v="BQ-A-R17"/>
    <s v="PALF"/>
    <x v="5"/>
    <s v="Congo"/>
    <m/>
    <m/>
    <m/>
  </r>
  <r>
    <x v="100"/>
    <s v="Paiement salaire du mois d'Avril 2025/LOUNDOU JeanRomain/3654853"/>
    <s v="Personnel"/>
    <s v="Legal"/>
    <n v="200000"/>
    <n v="343.10672849449912"/>
    <n v="582.90899999999999"/>
    <s v="BCI"/>
    <s v="BQ-A-R18"/>
    <s v="PALF"/>
    <x v="5"/>
    <s v="Congo"/>
    <m/>
    <m/>
    <m/>
  </r>
  <r>
    <x v="100"/>
    <s v="Paiement salaire du mois d'Avril 2025/Crepin IBOUILI-IBOUILI"/>
    <s v="Personnel"/>
    <s v="Legal"/>
    <n v="551482"/>
    <n v="946.08592421801688"/>
    <n v="582.90899999999999"/>
    <s v="BCI"/>
    <s v="BQ-A-R19"/>
    <s v="PALF"/>
    <x v="5"/>
    <s v="Congo"/>
    <m/>
    <m/>
    <m/>
  </r>
  <r>
    <x v="100"/>
    <s v="Paiement salaire du mois d'Avril 2025/PINDI BINGA Donald- Roméo"/>
    <s v="Personnel"/>
    <s v="Legal"/>
    <n v="300000"/>
    <n v="514.66009274174871"/>
    <n v="582.90899999999999"/>
    <s v="BCI"/>
    <s v="BQ-A-R21"/>
    <s v="PALF"/>
    <x v="5"/>
    <s v="Congo"/>
    <m/>
    <m/>
    <m/>
  </r>
  <r>
    <x v="100"/>
    <s v="Frais de virement salaire du mois d'avril 2025"/>
    <s v="Bank fees"/>
    <s v="Office"/>
    <n v="10665"/>
    <n v="18.296166296969169"/>
    <n v="582.90899999999999"/>
    <s v="BCI"/>
    <s v="BQ-A-R25"/>
    <s v="PALF"/>
    <x v="5"/>
    <s v="Congo"/>
    <m/>
    <m/>
    <m/>
  </r>
  <r>
    <x v="101"/>
    <s v="Achat billet Brazzaville-Owando/ Roderlin"/>
    <s v="Transport"/>
    <s v="Legal"/>
    <n v="7000"/>
    <n v="12.00873549730747"/>
    <n v="582.90899999999999"/>
    <s v="Roderlin"/>
    <s v="RO-A-R11"/>
    <s v="PALF"/>
    <x v="5"/>
    <s v="Congo"/>
    <m/>
    <m/>
    <m/>
  </r>
  <r>
    <x v="102"/>
    <s v="Achat billet Brazzaville-Owando/ Donald-Roméo"/>
    <s v="Transport "/>
    <s v="Legal"/>
    <n v="7000"/>
    <n v="12.00873549730747"/>
    <n v="582.90899999999999"/>
    <s v="Donald-Romeo"/>
    <s v="DR-A-R8"/>
    <s v="PALF"/>
    <x v="5"/>
    <s v="Congo"/>
    <m/>
    <m/>
    <m/>
  </r>
  <r>
    <x v="103"/>
    <s v="Reglement loyer du mois d'Avril 2025/3654847"/>
    <s v="Rent &amp; Utilities"/>
    <s v="Office"/>
    <n v="500000"/>
    <n v="857.76682123624789"/>
    <n v="582.90899999999999"/>
    <s v="BCI"/>
    <s v="BQ-A-R25"/>
    <s v="PALF"/>
    <x v="5"/>
    <s v="Congo"/>
    <m/>
    <m/>
    <m/>
  </r>
  <r>
    <x v="103"/>
    <s v=" Frais de prestation de nettoyage jardin PALF Avril 2025"/>
    <s v="Services"/>
    <s v="Office"/>
    <n v="20000"/>
    <n v="34.310672849449915"/>
    <n v="582.90899999999999"/>
    <s v="Parfaite"/>
    <s v="CA-A-R45"/>
    <s v="PALF"/>
    <x v="5"/>
    <s v="Congo"/>
    <m/>
    <m/>
    <m/>
  </r>
  <r>
    <x v="103"/>
    <s v="Reglement prestation de nettoyage  PALF du mois d'Avril 2025"/>
    <s v="Services"/>
    <s v="Office"/>
    <n v="75625"/>
    <n v="129.7372317119825"/>
    <n v="582.90899999999999"/>
    <s v="Parfaite"/>
    <s v="CA-A-R46"/>
    <s v="PALF"/>
    <x v="5"/>
    <s v="Congo"/>
    <m/>
    <m/>
    <m/>
  </r>
  <r>
    <x v="103"/>
    <s v="Roderlin-CONGO Ration du 28 au 30/04/2025 à Owando "/>
    <s v="Travel Subsistence"/>
    <s v="Legal"/>
    <n v="20000"/>
    <n v="34.310672849449915"/>
    <n v="582.90899999999999"/>
    <s v="Roderlin"/>
    <s v="RO-A-D4"/>
    <s v="PALF"/>
    <x v="5"/>
    <s v="Congo"/>
    <m/>
    <m/>
    <m/>
  </r>
  <r>
    <x v="103"/>
    <s v="DONALD ROMEO- CONGO Ration  du  28 au 30/04/2025 à Owando"/>
    <s v="Travel Subsistence"/>
    <s v="Legal"/>
    <n v="20000"/>
    <n v="34.310672849449915"/>
    <n v="582.90899999999999"/>
    <s v="Donald-Romeo"/>
    <s v="DR-A-D2"/>
    <s v="PALF"/>
    <x v="5"/>
    <s v="Congo"/>
    <m/>
    <m/>
    <m/>
  </r>
  <r>
    <x v="103"/>
    <s v="Cumul frais de transport local du mois d'Avril 2025/Evariste"/>
    <s v="Transport"/>
    <s v="Media"/>
    <n v="41900"/>
    <n v="71.880859619597572"/>
    <n v="582.90899999999999"/>
    <s v="Evariste"/>
    <s v="EV-A-D2"/>
    <s v="PALF"/>
    <x v="5"/>
    <s v="Congo"/>
    <m/>
    <m/>
    <m/>
  </r>
  <r>
    <x v="103"/>
    <s v="Bonus media portant sur l'annonce de l'audience du 29 Avril 2025 au tribunal de gande instance d'Owado "/>
    <s v="Bonus to media officer"/>
    <s v="Media"/>
    <n v="144000"/>
    <n v="247.03684451603939"/>
    <n v="582.90899999999999"/>
    <s v="Evariste"/>
    <s v="CA-A-D16"/>
    <s v="PALF"/>
    <x v="5"/>
    <s v="Congo"/>
    <m/>
    <m/>
    <m/>
  </r>
  <r>
    <x v="103"/>
    <s v="Frais de l'avis de recrutement  investigateurs dans le depeches de Brazzaville"/>
    <s v="Publication"/>
    <s v="Office"/>
    <n v="27000"/>
    <n v="46.319408346757385"/>
    <n v="582.90899999999999"/>
    <s v="Evariste"/>
    <s v="CA-A-R47"/>
    <s v="PALF"/>
    <x v="5"/>
    <s v="Congo"/>
    <m/>
    <m/>
    <m/>
  </r>
  <r>
    <x v="104"/>
    <s v="Cumul frais de transport local du mois d'Avril 2025/G12"/>
    <s v="Transport"/>
    <s v="Investigations"/>
    <n v="59500"/>
    <n v="102.07425172711349"/>
    <n v="582.90899999999999"/>
    <s v="G12"/>
    <s v="G12-A-D3"/>
    <s v="PALF"/>
    <x v="5"/>
    <s v="Congo"/>
    <m/>
    <m/>
    <m/>
  </r>
  <r>
    <x v="104"/>
    <s v="Frais de la matérialisation de décisions de justice/Frais d'expédition/Paiement de l'acte d'appel"/>
    <s v="Court fees"/>
    <s v="Legal"/>
    <n v="40000"/>
    <n v="68.62134569889983"/>
    <n v="582.90899999999999"/>
    <s v="Roderlin"/>
    <s v="RO-A-R12"/>
    <s v="PALF"/>
    <x v="5"/>
    <s v="Congo"/>
    <m/>
    <m/>
    <m/>
  </r>
  <r>
    <x v="104"/>
    <s v="Achat billet Owando-Brazzaville/ Roderlin"/>
    <s v="Transport"/>
    <s v="Legal"/>
    <n v="7000"/>
    <n v="12.00873549730747"/>
    <n v="582.90899999999999"/>
    <s v="Roderlin"/>
    <s v="RO-A-R13"/>
    <s v="PALF"/>
    <x v="5"/>
    <s v="Congo"/>
    <m/>
    <m/>
    <m/>
  </r>
  <r>
    <x v="104"/>
    <s v="Roderlin-CONGO frais d'hôtel du 28 au 30/04/2025 à Owando (02 nuitées)"/>
    <s v="Travel Subsistence"/>
    <s v="Legal"/>
    <n v="30000"/>
    <n v="51.466009274174873"/>
    <n v="582.90899999999999"/>
    <s v="Roderlin"/>
    <s v="RO-A-R14"/>
    <s v="PALF"/>
    <x v="5"/>
    <s v="Congo"/>
    <m/>
    <m/>
    <m/>
  </r>
  <r>
    <x v="104"/>
    <s v="Paiement salaire du mois d'Avril 2025/Evariste LELOUSSI/3654857"/>
    <s v="Personnel"/>
    <s v="Media"/>
    <n v="453388"/>
    <n v="777.80236709331984"/>
    <n v="582.90899999999999"/>
    <s v="BCI"/>
    <s v="BQ-A-R20"/>
    <s v="PALF"/>
    <x v="5"/>
    <s v="Congo"/>
    <m/>
    <m/>
    <m/>
  </r>
  <r>
    <x v="105"/>
    <s v="Achat billet Owando-Brazzaville/ Donald-Roméo"/>
    <s v="Transport "/>
    <s v="Legal"/>
    <n v="7000"/>
    <n v="12.00873549730747"/>
    <n v="582.90899999999999"/>
    <s v="Donald-Romeo"/>
    <s v="DR-A-R9"/>
    <s v="PALF"/>
    <x v="5"/>
    <s v="Congo"/>
    <m/>
    <m/>
    <m/>
  </r>
  <r>
    <x v="105"/>
    <s v="Cumul frais de transport local du mois d'Avril 2025/DOVI"/>
    <s v="Transport"/>
    <s v="Management"/>
    <n v="56000"/>
    <n v="96.069883978459757"/>
    <n v="582.90899999999999"/>
    <s v="DOVI"/>
    <s v="DH-A-D1"/>
    <s v="PALF"/>
    <x v="5"/>
    <s v="Congo"/>
    <m/>
    <m/>
    <m/>
  </r>
  <r>
    <x v="105"/>
    <s v="Cumul frais de transport local du mois d'Avril 2025/Crépin"/>
    <s v="Transport"/>
    <s v="Legal"/>
    <n v="21200"/>
    <n v="36.369313220416906"/>
    <n v="582.90899999999999"/>
    <s v="Crépin"/>
    <s v="CR-A-D2"/>
    <s v="PALF"/>
    <x v="5"/>
    <s v="Congo"/>
    <m/>
    <m/>
    <m/>
  </r>
  <r>
    <x v="105"/>
    <s v="Cumul frais de transport local du mois d'Avril 2025/ Parfaite"/>
    <s v="Transport"/>
    <s v="Office"/>
    <n v="40500"/>
    <n v="69.479112520136084"/>
    <n v="582.90899999999999"/>
    <s v="Parfaite"/>
    <s v="P-A-D1"/>
    <s v="PALF"/>
    <x v="5"/>
    <s v="Congo"/>
    <m/>
    <m/>
    <m/>
  </r>
  <r>
    <x v="105"/>
    <s v="Reglement facture internet periode du 01/05 au 31/05/2025 bureau PALF"/>
    <s v="Internet"/>
    <s v="Office"/>
    <n v="45050"/>
    <n v="77.284790593385935"/>
    <n v="582.90899999999999"/>
    <s v="Parfaite"/>
    <s v="CA-A-R48"/>
    <s v="PALF"/>
    <x v="5"/>
    <s v="Congo"/>
    <m/>
    <m/>
    <m/>
  </r>
  <r>
    <x v="105"/>
    <s v="Team building à l'occassion du 1er Mai 2025"/>
    <s v="Personnel"/>
    <s v="Team Building"/>
    <n v="199400"/>
    <n v="342.07740830901565"/>
    <n v="582.90899999999999"/>
    <s v="Parfaite"/>
    <s v="CA-A-R49"/>
    <s v="PALF"/>
    <x v="5"/>
    <s v="Congo"/>
    <m/>
    <m/>
    <m/>
  </r>
  <r>
    <x v="105"/>
    <s v="Cumul frais de transport local du mois d'Avril 2025/T73"/>
    <s v="Transport"/>
    <s v="Investigations"/>
    <n v="72100"/>
    <n v="123.68997562226694"/>
    <n v="582.90899999999999"/>
    <s v="T73"/>
    <s v="T73-A-D3"/>
    <s v="PALF"/>
    <x v="5"/>
    <s v="Congo"/>
    <m/>
    <m/>
    <m/>
  </r>
  <r>
    <x v="105"/>
    <s v="Cumul frais de transport local du mois d'Avril 2025/Roderlin"/>
    <s v="Transport"/>
    <s v="Legal"/>
    <n v="46800"/>
    <n v="80.286974467712795"/>
    <n v="582.90899999999999"/>
    <s v="Roderlin"/>
    <s v="RO-A-D5"/>
    <s v="PALF"/>
    <x v="5"/>
    <s v="Congo"/>
    <m/>
    <m/>
    <m/>
  </r>
  <r>
    <x v="105"/>
    <s v="DONALD ROMEO- CONGO Frais d'hôtel du  28 au 30/04/2025 à Owando (02 Nuitées)"/>
    <s v="Travel Subsistence"/>
    <s v="Legal"/>
    <n v="30000"/>
    <n v="51.466009274174873"/>
    <n v="582.90899999999999"/>
    <s v="Donald-Romeo"/>
    <s v="DR-A-R10"/>
    <s v="PALF"/>
    <x v="5"/>
    <s v="Congo"/>
    <m/>
    <m/>
    <m/>
  </r>
  <r>
    <x v="105"/>
    <s v="Cumul frais de transport local du mois d'Avril 2025/ Donald-Romeo"/>
    <s v="Transport "/>
    <s v="Legal"/>
    <n v="30000"/>
    <n v="51.466009274174873"/>
    <n v="582.90899999999999"/>
    <s v="Donald-Romeo"/>
    <s v="DR-A-D3"/>
    <s v="PALF"/>
    <x v="5"/>
    <s v="Congo"/>
    <m/>
    <m/>
    <m/>
  </r>
  <r>
    <x v="105"/>
    <s v="Reglement honoraire du mois de d'Avril 2025/P29/3654846"/>
    <s v="Personnel"/>
    <s v="Investigations"/>
    <n v="440000"/>
    <n v="754.8348026878981"/>
    <n v="582.90899999999999"/>
    <s v="BCI"/>
    <s v="BQ-A-R22"/>
    <s v="PALF"/>
    <x v="5"/>
    <s v="Congo"/>
    <m/>
    <m/>
    <m/>
  </r>
  <r>
    <x v="105"/>
    <s v="Reglement honoraire du mois d'Avril 2025/G12/3654859"/>
    <s v="Personnel"/>
    <s v="Investigations"/>
    <n v="240000"/>
    <n v="411.72807419339898"/>
    <n v="582.90899999999999"/>
    <s v="BCI"/>
    <s v="BQ-A-R23"/>
    <s v="PALF"/>
    <x v="5"/>
    <s v="Congo"/>
    <m/>
    <m/>
    <m/>
  </r>
  <r>
    <x v="105"/>
    <s v="Reglement honoraire du mois d'Avril 2025/T73/365482960"/>
    <s v="Personnel"/>
    <s v="Investigations"/>
    <n v="240000"/>
    <n v="411.72807419339898"/>
    <n v="582.90899999999999"/>
    <s v="BCI"/>
    <s v="BQ-A-R24"/>
    <s v="PALF"/>
    <x v="5"/>
    <s v="Congo"/>
    <m/>
    <m/>
    <m/>
  </r>
  <r>
    <x v="106"/>
    <s v="Bonus media portant sur l'interpellation de 2 Présumés trafiquants le 29/04/2025 à Owando"/>
    <s v="Bonus to media officer"/>
    <s v="Media"/>
    <n v="124000"/>
    <n v="213.92367065415789"/>
    <n v="579.64599999999996"/>
    <s v="Evariste"/>
    <s v="CA-MA-D1"/>
    <s v="PALF"/>
    <x v="1"/>
    <s v="Congo"/>
    <m/>
    <m/>
    <m/>
  </r>
  <r>
    <x v="107"/>
    <s v="Achat billet Brazzaville-kimongo/ P29"/>
    <s v="Transport"/>
    <s v="Investigations"/>
    <n v="12000"/>
    <n v="20.702290708466894"/>
    <n v="579.64599999999996"/>
    <s v="P29"/>
    <s v="P29-MA-R1"/>
    <s v="PALF"/>
    <x v="1"/>
    <s v="Congo"/>
    <m/>
    <m/>
    <m/>
  </r>
  <r>
    <x v="107"/>
    <s v="P29 - CONGO Ration  du 03 au 10/05/2025 à  (07 Nuitées)"/>
    <s v="Travel Subsistence"/>
    <s v="Investigations"/>
    <n v="70000"/>
    <n v="120.76336246605688"/>
    <n v="579.64599999999996"/>
    <s v="P29"/>
    <s v="P29-MA-D1"/>
    <s v="PALF"/>
    <x v="1"/>
    <s v="Congo"/>
    <m/>
    <m/>
    <m/>
  </r>
  <r>
    <x v="107"/>
    <s v="achat billet : brazzaville - Pointe noire/T73"/>
    <s v="Transport"/>
    <s v="Investigations"/>
    <n v="12000"/>
    <n v="20.702290708466894"/>
    <n v="579.64599999999996"/>
    <s v="T73"/>
    <s v="T73-MA-R1"/>
    <s v="PALF"/>
    <x v="1"/>
    <s v="Congo"/>
    <m/>
    <m/>
    <m/>
  </r>
  <r>
    <x v="107"/>
    <s v="T73-CONGO Ration  du 03 au 10 /05/2025  à Pointe Noire, Madingo Kayes"/>
    <s v="Travel Subsistence"/>
    <s v="Investigations"/>
    <n v="70000"/>
    <n v="120.76336246605688"/>
    <n v="579.64599999999996"/>
    <s v="T73"/>
    <s v="T73-MA-D1"/>
    <s v="PALF"/>
    <x v="1"/>
    <s v="Congo"/>
    <m/>
    <m/>
    <m/>
  </r>
  <r>
    <x v="107"/>
    <s v="Achat billet Brazzaville - loudima /G12"/>
    <s v="Transport"/>
    <s v="Investigations"/>
    <n v="7000"/>
    <n v="12.076336246605688"/>
    <n v="579.64599999999996"/>
    <s v="G12"/>
    <s v="G12-MA-R1"/>
    <s v="PALF"/>
    <x v="1"/>
    <s v="Congo"/>
    <m/>
    <m/>
    <m/>
  </r>
  <r>
    <x v="107"/>
    <s v="G12-CONGO Rations du 03 au 10 /05/2025 à Sibiti, Zanaga et Loudima"/>
    <s v="Travel Subsistence"/>
    <s v="Investigations"/>
    <n v="70000"/>
    <n v="120.76336246605688"/>
    <n v="579.64599999999996"/>
    <s v="G12"/>
    <s v="G12-MA-D1"/>
    <s v="PALF"/>
    <x v="1"/>
    <s v="Congo"/>
    <m/>
    <m/>
    <m/>
  </r>
  <r>
    <x v="107"/>
    <s v="Achat billet Loudima - Sibiti /G12"/>
    <s v="Transport"/>
    <s v="Investigations"/>
    <n v="4000"/>
    <n v="6.9007635694889649"/>
    <n v="579.64599999999996"/>
    <s v="G12"/>
    <s v="G12-MA-R2"/>
    <s v="PALF"/>
    <x v="1"/>
    <s v="Congo"/>
    <m/>
    <m/>
    <m/>
  </r>
  <r>
    <x v="108"/>
    <s v="Paiement salaire du mois d'Avril 2025/FOUMBA Roderlin/36552"/>
    <s v="Personnel"/>
    <s v="Legal"/>
    <n v="200000"/>
    <n v="343.10696393911502"/>
    <n v="582.90899999999999"/>
    <s v="BCI"/>
    <s v="BQ-MA-R13"/>
    <s v="PALF"/>
    <x v="5"/>
    <s v="Congo"/>
    <m/>
    <m/>
    <m/>
  </r>
  <r>
    <x v="108"/>
    <s v="credit  teléphonique MTN/PALF/Première partie du mois de Mai 2025/Management"/>
    <s v="Telephone"/>
    <s v="Management"/>
    <n v="21000"/>
    <n v="36.026231213607076"/>
    <n v="579.64599999999996"/>
    <s v="DOVI"/>
    <s v="DH-MA-R2"/>
    <s v="PALF"/>
    <x v="1"/>
    <s v="Congo"/>
    <m/>
    <m/>
    <m/>
  </r>
  <r>
    <x v="108"/>
    <s v="credit  teléphonique MTN/PALF/Première partie du mois de Mai 2025/Legal"/>
    <s v="Telephone"/>
    <s v="Legal"/>
    <n v="16000"/>
    <n v="27.448557115129201"/>
    <n v="579.64599999999996"/>
    <s v="Crépin"/>
    <s v="CR-MA-R12"/>
    <s v="PALF"/>
    <x v="1"/>
    <s v="Congo"/>
    <m/>
    <m/>
    <m/>
  </r>
  <r>
    <x v="108"/>
    <s v="credit  teléphonique Airtel/PALF/Première partie du mois de Mai 2025/Legal"/>
    <s v="Telephone"/>
    <s v="Legal"/>
    <n v="5000"/>
    <n v="8.5776740984778748"/>
    <n v="579.64599999999996"/>
    <s v="Crépin"/>
    <s v="CR-MA-R13"/>
    <s v="PALF"/>
    <x v="1"/>
    <s v="Congo"/>
    <m/>
    <m/>
    <m/>
  </r>
  <r>
    <x v="108"/>
    <s v="Bonus du mois de Avril 2025/Crépin"/>
    <s v="Personnel"/>
    <s v="Legal"/>
    <n v="30000"/>
    <n v="51.466044590867249"/>
    <n v="582.90899999999999"/>
    <s v="Crépin"/>
    <s v="CA-MA-D7"/>
    <s v="PALF"/>
    <x v="5"/>
    <s v="Congo"/>
    <m/>
    <m/>
    <m/>
  </r>
  <r>
    <x v="108"/>
    <s v="Frais de transfert d'argent à P29 "/>
    <s v="Transfer Fees"/>
    <s v="Office"/>
    <n v="3225"/>
    <n v="5.5325997935182292"/>
    <n v="579.64599999999996"/>
    <s v="Parfaite"/>
    <s v="CA-MA-R1"/>
    <s v="PALF"/>
    <x v="1"/>
    <s v="Congo"/>
    <m/>
    <m/>
    <m/>
  </r>
  <r>
    <x v="108"/>
    <s v="Bonus du mois d'Avril 2025/Parfaite"/>
    <s v="Personnel"/>
    <s v="Office"/>
    <n v="30000"/>
    <n v="51.466044590867249"/>
    <n v="582.90899999999999"/>
    <s v="Parfaite"/>
    <s v="CA-MA-D2"/>
    <s v="PALF"/>
    <x v="5"/>
    <s v="Congo"/>
    <m/>
    <m/>
    <m/>
  </r>
  <r>
    <x v="108"/>
    <s v="credit  teléphonique MTN/PALF/Première partie du mois de Mai 2025/Office"/>
    <s v="Telephone"/>
    <s v="Office"/>
    <n v="21000"/>
    <n v="36.026231213607076"/>
    <n v="579.64599999999996"/>
    <s v="Parfaite"/>
    <s v="P-MA-R1"/>
    <s v="PALF"/>
    <x v="1"/>
    <s v="Congo"/>
    <m/>
    <m/>
    <m/>
  </r>
  <r>
    <x v="108"/>
    <s v="credit  teléphonique MTN/PALF/Première partie du mois de Mai 2025/Investigation"/>
    <s v="Telephone"/>
    <s v="Investigations"/>
    <n v="10000"/>
    <n v="17.15534819695575"/>
    <n v="579.64599999999996"/>
    <s v="P29"/>
    <s v="P29-MA-R19"/>
    <s v="PALF"/>
    <x v="1"/>
    <s v="Congo"/>
    <m/>
    <m/>
    <m/>
  </r>
  <r>
    <x v="108"/>
    <s v="credit  teléphonique Airtel/PALF/Première partie du mois de mai 2025/Investigation"/>
    <s v="Telephone"/>
    <s v="Investigations"/>
    <n v="16000"/>
    <n v="27.448557115129201"/>
    <n v="579.64599999999996"/>
    <s v="P29"/>
    <s v="P29-MA-R20"/>
    <s v="PALF"/>
    <x v="1"/>
    <s v="Congo"/>
    <m/>
    <m/>
    <m/>
  </r>
  <r>
    <x v="108"/>
    <s v="credit  teléphonique MTN/PALF/Première partie du mois de Mai 2025/Investigation"/>
    <s v="Telephone"/>
    <s v="Investigations"/>
    <n v="26000"/>
    <n v="44.603905312084947"/>
    <n v="579.64599999999996"/>
    <s v="T73"/>
    <s v="T73-MA-R17"/>
    <s v="PALF"/>
    <x v="1"/>
    <s v="Congo"/>
    <m/>
    <m/>
    <m/>
  </r>
  <r>
    <x v="108"/>
    <s v="credit  teléphonique MTN/PALF/Première partie du mois de mai 2025/Investigation"/>
    <s v="Telephone"/>
    <s v="Investigations"/>
    <n v="26000"/>
    <n v="44.603905312084947"/>
    <n v="579.64599999999996"/>
    <s v="G12"/>
    <s v="G12-MA-R19"/>
    <s v="PALF"/>
    <x v="1"/>
    <s v="Congo"/>
    <m/>
    <m/>
    <m/>
  </r>
  <r>
    <x v="108"/>
    <s v="credit  teléphonique MTN/PALF/Première partie du mois de Mai 2025/Legal"/>
    <s v="Telephone"/>
    <s v="Legal"/>
    <n v="16000"/>
    <n v="27.448557115129201"/>
    <n v="579.64599999999996"/>
    <s v="Abraham"/>
    <s v="AB-MA-R3"/>
    <s v="PALF"/>
    <x v="1"/>
    <s v="Congo"/>
    <m/>
    <m/>
    <m/>
  </r>
  <r>
    <x v="108"/>
    <s v="credit  teléphonique Airtel/PALF/Première partie du mois de mai 2025/Legal"/>
    <s v="Telephone"/>
    <s v="Legal"/>
    <n v="5000"/>
    <n v="8.5776740984778748"/>
    <n v="579.64599999999996"/>
    <s v="Abraham"/>
    <s v="AB-MA-R4"/>
    <s v="PALF"/>
    <x v="1"/>
    <s v="Congo"/>
    <m/>
    <m/>
    <m/>
  </r>
  <r>
    <x v="108"/>
    <s v="Frais de transfert d'argent à G12 et T73"/>
    <s v="Transfer Fees"/>
    <s v="Office"/>
    <n v="4960"/>
    <n v="8.5090527056900527"/>
    <n v="579.64599999999996"/>
    <s v="Abraham"/>
    <s v="CA-MA-R2"/>
    <s v="PALF"/>
    <x v="1"/>
    <s v="Congo"/>
    <m/>
    <m/>
    <m/>
  </r>
  <r>
    <x v="108"/>
    <s v="Bonus du mois d'Avril 2025/Abraham"/>
    <s v="Personnel"/>
    <s v="Legal"/>
    <n v="30000"/>
    <n v="51.466044590867249"/>
    <n v="582.90899999999999"/>
    <s v="Abraham"/>
    <s v="CA-MA-D5"/>
    <s v="PALF"/>
    <x v="5"/>
    <s v="Congo"/>
    <m/>
    <m/>
    <m/>
  </r>
  <r>
    <x v="108"/>
    <s v="Bonus du mois de d'avril 2025/Roderlin"/>
    <s v="Personnel"/>
    <s v="Legal"/>
    <n v="30000"/>
    <n v="51.466044590867249"/>
    <n v="582.90899999999999"/>
    <s v="Roderlin"/>
    <s v="CA-MA-D6"/>
    <s v="PALF"/>
    <x v="5"/>
    <s v="Congo"/>
    <m/>
    <m/>
    <m/>
  </r>
  <r>
    <x v="108"/>
    <s v="Bonus du mois d'Avril 2025/Donal-Roméo"/>
    <s v="Personnel"/>
    <s v="Legal"/>
    <n v="30000"/>
    <n v="51.466044590867249"/>
    <n v="582.90899999999999"/>
    <s v="Donald-Romeo"/>
    <s v="CA-MA-D4"/>
    <s v="PALF"/>
    <x v="5"/>
    <s v="Congo"/>
    <m/>
    <m/>
    <m/>
  </r>
  <r>
    <x v="108"/>
    <s v="credit  teléphonique MTN/PALF/Première partie du mois de Mai 2025/Legal"/>
    <s v="Telephone"/>
    <s v="Legal"/>
    <n v="21000"/>
    <n v="36.026231213607076"/>
    <n v="579.64599999999996"/>
    <s v="Donald-Romeo"/>
    <s v="DR-MA-R9"/>
    <s v="PALF"/>
    <x v="1"/>
    <s v="Congo"/>
    <m/>
    <m/>
    <m/>
  </r>
  <r>
    <x v="108"/>
    <s v="Bonus du mois d'Avril 2025/Romain"/>
    <s v="Personnel"/>
    <s v="Legal"/>
    <n v="30000"/>
    <n v="51.466044590867249"/>
    <n v="582.90899999999999"/>
    <s v="Romain"/>
    <s v="CA-MA-D3"/>
    <s v="PALF"/>
    <x v="5"/>
    <s v="Congo"/>
    <m/>
    <m/>
    <m/>
  </r>
  <r>
    <x v="108"/>
    <s v="credit  teléphonique MTN/PALF/Première partie du mois de Mai 2025/Legal"/>
    <s v="Telephone"/>
    <s v="Legal"/>
    <n v="21000"/>
    <n v="36.026231213607076"/>
    <n v="579.64599999999996"/>
    <s v="Romain"/>
    <s v="RM-MA-R8"/>
    <s v="PALF"/>
    <x v="1"/>
    <s v="Congo"/>
    <m/>
    <m/>
    <m/>
  </r>
  <r>
    <x v="109"/>
    <s v="Solde  honoraire contrat n°82 Owando cas NGASSAKI et ELOMBO/ Maître BANZOUZI Alain/3654862"/>
    <s v="Lawyer Fees"/>
    <s v="Legal"/>
    <n v="300000"/>
    <n v="514.6604459086725"/>
    <n v="579.64599999999996"/>
    <s v="BCI"/>
    <s v="BQ-MA-R1"/>
    <s v="PALF"/>
    <x v="1"/>
    <s v="Congo"/>
    <m/>
    <m/>
    <m/>
  </r>
  <r>
    <x v="109"/>
    <s v="Règlement loyer/Avril 2025 (Coordinateur)"/>
    <s v="Personnel"/>
    <s v="Management"/>
    <n v="174625"/>
    <n v="299.57526788933978"/>
    <n v="582.90899999999999"/>
    <s v="DOVI"/>
    <s v="DH-MA-R1"/>
    <s v="PALF"/>
    <x v="5"/>
    <s v="Congo"/>
    <m/>
    <m/>
    <m/>
  </r>
  <r>
    <x v="109"/>
    <s v="P29 -CONGO Frais d'hotel du 03 au 06/05/2025 à Kimongo"/>
    <s v="Travel Subsistence"/>
    <s v="Investigations"/>
    <n v="45000"/>
    <n v="77.199066886300869"/>
    <n v="579.64599999999996"/>
    <s v="P29"/>
    <s v="P29-MA-R2"/>
    <s v="PALF"/>
    <x v="1"/>
    <s v="Congo"/>
    <m/>
    <m/>
    <m/>
  </r>
  <r>
    <x v="109"/>
    <s v="Achat billet kimongo-dibeni/P29"/>
    <s v="Transport"/>
    <s v="Investigations"/>
    <n v="6000"/>
    <n v="10.29320891817345"/>
    <n v="579.64599999999996"/>
    <s v="P29"/>
    <s v="P29-MA-R3"/>
    <s v="PALF"/>
    <x v="1"/>
    <s v="Congo"/>
    <m/>
    <m/>
    <m/>
  </r>
  <r>
    <x v="109"/>
    <s v="T73 - CONGO Frais d'hotel du 03 au 06/05/2025  à Pointe noire (03 Nuitées)"/>
    <s v="Travel Subsistence"/>
    <s v="Investigations"/>
    <n v="45000"/>
    <n v="77.199066886300869"/>
    <n v="579.64599999999996"/>
    <s v="T73"/>
    <s v="T73-MA-R2"/>
    <s v="PALF"/>
    <x v="1"/>
    <s v="Congo"/>
    <m/>
    <m/>
    <m/>
  </r>
  <r>
    <x v="109"/>
    <s v="Achat billet Pointe noire - Madingo kaye/T73"/>
    <s v="Transport"/>
    <s v="Investigations"/>
    <n v="5000"/>
    <n v="8.5776740984778748"/>
    <n v="579.64599999999996"/>
    <s v="T73"/>
    <s v="T73-MA-R3"/>
    <s v="PALF"/>
    <x v="1"/>
    <s v="Congo"/>
    <m/>
    <m/>
    <m/>
  </r>
  <r>
    <x v="109"/>
    <s v="G12-CONGO Frais d'hôtel du 03 au 06 /05/2025 à SIBITI (03 Nuitées)"/>
    <s v="Travel Subsistence"/>
    <s v="Investigations"/>
    <n v="45000"/>
    <n v="77.199066886300869"/>
    <n v="579.64599999999996"/>
    <s v="G12"/>
    <s v="G12-MA-R3"/>
    <s v="PALF"/>
    <x v="1"/>
    <s v="Congo"/>
    <m/>
    <m/>
    <m/>
  </r>
  <r>
    <x v="109"/>
    <s v="Achat billet Sibiti - Zanaga /G12"/>
    <s v="Transport"/>
    <s v="Investigations"/>
    <n v="10000"/>
    <n v="17.15534819695575"/>
    <n v="579.64599999999996"/>
    <s v="G12"/>
    <s v="G12-MA-R4"/>
    <s v="PALF"/>
    <x v="1"/>
    <s v="Congo"/>
    <m/>
    <m/>
    <m/>
  </r>
  <r>
    <x v="109"/>
    <s v="Frais de transport mission Maitre Alain à Dolisie du 07 au 10/05/2025"/>
    <s v="Transport"/>
    <s v="Legal"/>
    <n v="28000"/>
    <n v="48.034974951476102"/>
    <n v="579.64599999999996"/>
    <s v="Abraham"/>
    <s v="CA-MA-R3"/>
    <s v="PALF"/>
    <x v="1"/>
    <s v="Congo"/>
    <m/>
    <m/>
    <m/>
  </r>
  <r>
    <x v="109"/>
    <s v="Ration et frais d'hotel mission maitre Alain à Dolisie du 07 au 10/05/2025"/>
    <s v="Travel Subsistence"/>
    <s v="Legal"/>
    <n v="75000"/>
    <n v="128.66511147716813"/>
    <n v="579.64599999999996"/>
    <s v="Abraham"/>
    <s v="CA-MA-R4"/>
    <s v="PALF"/>
    <x v="1"/>
    <s v="Congo"/>
    <m/>
    <m/>
    <m/>
  </r>
  <r>
    <x v="109"/>
    <s v="credit  teléphonique MTN/PALF/Première partie du mois de Mai 2025/Legal"/>
    <s v="Telephone"/>
    <s v="Legal"/>
    <n v="21000"/>
    <n v="36.026231213607076"/>
    <n v="579.64599999999996"/>
    <s v="Roderlin"/>
    <s v="RO-MA-R6"/>
    <s v="PALF"/>
    <x v="1"/>
    <s v="Congo"/>
    <m/>
    <m/>
    <m/>
  </r>
  <r>
    <x v="109"/>
    <s v="Achat billet Brazzaville-Dolisie/Donald-Roméo"/>
    <s v="Transport "/>
    <s v="Legal"/>
    <n v="10000"/>
    <n v="17.15534819695575"/>
    <n v="579.64599999999996"/>
    <s v="Donald-Romeo"/>
    <s v="DR-MA-R1"/>
    <s v="PALF"/>
    <x v="1"/>
    <s v="Congo"/>
    <m/>
    <m/>
    <m/>
  </r>
  <r>
    <x v="109"/>
    <s v="Achat billet:Brazzaville-Dolisie/ Romain"/>
    <s v="Transport"/>
    <s v="Legal"/>
    <n v="10000"/>
    <n v="17.15534819695575"/>
    <n v="579.64599999999996"/>
    <s v="Romain"/>
    <s v="RM-MA-R1"/>
    <s v="PALF"/>
    <x v="1"/>
    <s v="Congo"/>
    <m/>
    <m/>
    <m/>
  </r>
  <r>
    <x v="110"/>
    <s v="Reglement Facture Gardiennage Mois d'Avril 2025/3654863"/>
    <s v="Services"/>
    <s v="Office"/>
    <n v="260000"/>
    <n v="446.03905312084947"/>
    <n v="579.64599999999996"/>
    <s v="BCI"/>
    <s v="BQ-MA-R2"/>
    <s v="PALF"/>
    <x v="1"/>
    <s v="Congo"/>
    <m/>
    <m/>
    <m/>
  </r>
  <r>
    <x v="110"/>
    <s v="Achat produit d'entretien lait,sucre,javel,papier toilette,sucre,café/Bureau PALF"/>
    <s v="Office Materials"/>
    <s v="Office"/>
    <n v="47400"/>
    <n v="81.316350453570251"/>
    <n v="579.64599999999996"/>
    <s v="Parfaite"/>
    <s v="CA-MA-R5"/>
    <s v="PALF"/>
    <x v="1"/>
    <s v="Congo"/>
    <m/>
    <m/>
    <m/>
  </r>
  <r>
    <x v="110"/>
    <s v="DONALD-ROMEO/ CONGO Ration  du  07 au 10/05/2025 à Dolisie"/>
    <s v="Travel Subsistence"/>
    <s v="Legal"/>
    <n v="30000"/>
    <n v="51.466044590867249"/>
    <n v="579.64599999999996"/>
    <s v="Donald-Romeo"/>
    <s v="DR-MA-D1"/>
    <s v="PALF"/>
    <x v="1"/>
    <s v="Congo"/>
    <m/>
    <m/>
    <m/>
  </r>
  <r>
    <x v="110"/>
    <s v="ROMAIN-CONGO Ration du 07 au 10/05/2025 à Dolisie"/>
    <s v="Travel Subsistence"/>
    <s v="Legal"/>
    <n v="30000"/>
    <n v="51.466044590867249"/>
    <n v="579.64599999999996"/>
    <s v="Romain"/>
    <s v="RM-MA-D1"/>
    <s v="PALF"/>
    <x v="1"/>
    <s v="Congo"/>
    <m/>
    <m/>
    <m/>
  </r>
  <r>
    <x v="111"/>
    <s v="P29 -CONGO Frais d'hotel du 06 au 08/05/2025 à Dibeni"/>
    <s v="Travel Subsistence"/>
    <s v="Investigations"/>
    <n v="30000"/>
    <n v="51.466044590867249"/>
    <n v="579.64599999999996"/>
    <s v="P29"/>
    <s v="P29-MA-R4"/>
    <s v="PALF"/>
    <x v="1"/>
    <s v="Congo"/>
    <m/>
    <m/>
    <m/>
  </r>
  <r>
    <x v="111"/>
    <s v="Achat billet dibeni-dolisie/P29"/>
    <s v="Transport"/>
    <s v="Investigations"/>
    <n v="7000"/>
    <n v="12.008743737869025"/>
    <n v="579.64599999999996"/>
    <s v="P29"/>
    <s v="P29-MA-R5"/>
    <s v="PALF"/>
    <x v="1"/>
    <s v="Congo"/>
    <m/>
    <m/>
    <m/>
  </r>
  <r>
    <x v="111"/>
    <s v="T73 - CONGO Frais d'hotel du 06 au 08/05/2025  à Madingo kayes(02 Nuitées)"/>
    <s v="Travel Subsistence"/>
    <s v="Investigations"/>
    <n v="30000"/>
    <n v="51.466044590867249"/>
    <n v="579.64599999999996"/>
    <s v="T73"/>
    <s v="T73-MA-R4"/>
    <s v="PALF"/>
    <x v="1"/>
    <s v="Congo"/>
    <m/>
    <m/>
    <m/>
  </r>
  <r>
    <x v="111"/>
    <s v="Achat billet  Madingo kaye - Pounga/ T73"/>
    <s v="Transport"/>
    <s v="Investigations"/>
    <n v="7000"/>
    <n v="12.008743737869025"/>
    <n v="579.64599999999996"/>
    <s v="T73"/>
    <s v="T73-MA-R5"/>
    <s v="PALF"/>
    <x v="1"/>
    <s v="Congo"/>
    <m/>
    <m/>
    <m/>
  </r>
  <r>
    <x v="111"/>
    <s v="G12-CONGO Frais d'hotel du 06 au 08 /05/2025 à Zanaga (02 Nuitées)"/>
    <s v="Travel Subsistence"/>
    <s v="Investigations"/>
    <n v="30000"/>
    <n v="51.466044590867249"/>
    <n v="579.64599999999996"/>
    <s v="G12"/>
    <s v="G12-MA-R5"/>
    <s v="PALF"/>
    <x v="1"/>
    <s v="Congo"/>
    <m/>
    <m/>
    <m/>
  </r>
  <r>
    <x v="111"/>
    <s v="Achat billet Zanaga - Sibiti/G12"/>
    <s v="Transport"/>
    <s v="Investigations"/>
    <n v="10000"/>
    <n v="17.15534819695575"/>
    <n v="579.64599999999996"/>
    <s v="G12"/>
    <s v="G12-MA-R6"/>
    <s v="PALF"/>
    <x v="1"/>
    <s v="Congo"/>
    <m/>
    <m/>
    <m/>
  </r>
  <r>
    <x v="111"/>
    <s v="Achat bilet Sibiti - Loudima/G12"/>
    <s v="Transport"/>
    <s v="Investigations"/>
    <n v="4000"/>
    <n v="6.8621392787823003"/>
    <n v="579.64599999999996"/>
    <s v="G12"/>
    <s v="G12-MA-R7"/>
    <s v="PALF"/>
    <x v="1"/>
    <s v="Congo"/>
    <m/>
    <m/>
    <m/>
  </r>
  <r>
    <x v="112"/>
    <s v="Paiement Honoraire Me LOCKO/Mois d'Avril 2025/3654856"/>
    <s v="Lawyer Fees"/>
    <s v="Legal"/>
    <n v="150000"/>
    <n v="257.33022295433625"/>
    <n v="579.64599999999996"/>
    <s v="BCI"/>
    <s v="BQ-MA-R14"/>
    <s v="PALF"/>
    <x v="1"/>
    <s v="Congo"/>
    <m/>
    <m/>
    <m/>
  </r>
  <r>
    <x v="112"/>
    <s v="Achat billet dolisie-Brazzaville/P29"/>
    <s v="Transport"/>
    <s v="Investigations"/>
    <n v="10000"/>
    <n v="17.15534819695575"/>
    <n v="579.64599999999996"/>
    <s v="P29"/>
    <s v="P29-MA-R6"/>
    <s v="PALF"/>
    <x v="1"/>
    <s v="Congo"/>
    <m/>
    <m/>
    <m/>
  </r>
  <r>
    <x v="112"/>
    <s v="Frais de transfert d'argent à Donald-Roméo ,Me Alain et  Romain"/>
    <s v="Transfer Fees"/>
    <s v="Office"/>
    <n v="3270"/>
    <n v="5.6097988604045304"/>
    <n v="579.64599999999996"/>
    <s v="Roderlin"/>
    <s v="CA-MA-R6"/>
    <s v="PALF"/>
    <x v="1"/>
    <s v="Congo"/>
    <m/>
    <m/>
    <m/>
  </r>
  <r>
    <x v="112"/>
    <s v="Réglement facture électricité periode Mars-Avril 2025/bureau PALF"/>
    <s v="Rent &amp; Utilities"/>
    <s v="Office"/>
    <n v="68737"/>
    <n v="117.92071690141474"/>
    <n v="579.64599999999996"/>
    <s v="Roderlin"/>
    <s v="CA-MA-R7"/>
    <s v="PALF"/>
    <x v="1"/>
    <s v="Congo"/>
    <m/>
    <m/>
    <m/>
  </r>
  <r>
    <x v="112"/>
    <s v="Achat billet Dolisie-Brazzaville/Donald-Roméo"/>
    <s v="Transport "/>
    <s v="Legal"/>
    <n v="10000"/>
    <n v="17.15534819695575"/>
    <n v="579.64599999999996"/>
    <s v="Donald-Romeo"/>
    <s v="DR-MA-R2"/>
    <s v="PALF"/>
    <x v="1"/>
    <s v="Congo"/>
    <m/>
    <m/>
    <m/>
  </r>
  <r>
    <x v="112"/>
    <s v="Frais d'expédition"/>
    <s v="Court fees"/>
    <s v="Legal"/>
    <n v="20000"/>
    <n v="34.310696393911499"/>
    <n v="579.64599999999996"/>
    <s v="Romain"/>
    <s v="RM-MA-R2"/>
    <s v="PALF"/>
    <x v="1"/>
    <s v="Congo"/>
    <m/>
    <m/>
    <m/>
  </r>
  <r>
    <x v="112"/>
    <s v="Achat billet  Dolisie-Brazzaville/ Romain"/>
    <s v="Transport"/>
    <s v="Legal"/>
    <n v="10000"/>
    <n v="17.15534819695575"/>
    <n v="579.64599999999996"/>
    <s v="Romain"/>
    <s v="RM-MA-R3"/>
    <s v="PALF"/>
    <x v="1"/>
    <s v="Congo"/>
    <m/>
    <m/>
    <m/>
  </r>
  <r>
    <x v="113"/>
    <s v="P29 -CONGO Frais d'hotel du 08 au 10/05/2025 à Dolisie"/>
    <s v="Travel Subsistence"/>
    <s v="Investigations"/>
    <n v="30000"/>
    <n v="51.466044590867249"/>
    <n v="579.64599999999996"/>
    <s v="P29"/>
    <s v="P29-MA-R7"/>
    <s v="PALF"/>
    <x v="1"/>
    <s v="Congo"/>
    <m/>
    <m/>
    <m/>
  </r>
  <r>
    <x v="113"/>
    <s v="T73 - CONGO Frais d'hotel du 06 au 08/05/2025 à Pounga (02 Nuitées)"/>
    <s v="Travel Subsistence"/>
    <s v="Investigations"/>
    <n v="30000"/>
    <n v="51.466044590867249"/>
    <n v="579.64599999999996"/>
    <s v="T73"/>
    <s v="T73-MA-R6"/>
    <s v="PALF"/>
    <x v="1"/>
    <s v="Congo"/>
    <m/>
    <m/>
    <m/>
  </r>
  <r>
    <x v="113"/>
    <s v="Achat billet  Pounga - Brazzaville/T73"/>
    <s v="Transport"/>
    <s v="Investigations"/>
    <n v="12000"/>
    <n v="20.5864178363469"/>
    <n v="579.64599999999996"/>
    <s v="T73"/>
    <s v="T73-MA-R7"/>
    <s v="PALF"/>
    <x v="1"/>
    <s v="Congo"/>
    <m/>
    <m/>
    <m/>
  </r>
  <r>
    <x v="113"/>
    <s v="G12-CONGO Frais d'hotel du 08 au 10 /05/2025 à Loudima (02 Nuitées)"/>
    <s v="Travel Subsistence"/>
    <s v="Investigations"/>
    <n v="30000"/>
    <n v="51.466044590867249"/>
    <n v="579.64599999999996"/>
    <s v="G12"/>
    <s v="G12-MA-R8"/>
    <s v="PALF"/>
    <x v="1"/>
    <s v="Congo"/>
    <m/>
    <m/>
    <m/>
  </r>
  <r>
    <x v="113"/>
    <s v="Achat billet Loudima - Brazzaville/G12"/>
    <s v="Transport"/>
    <s v="Investigations"/>
    <n v="7000"/>
    <n v="12.008743737869025"/>
    <n v="579.64599999999996"/>
    <s v="G12"/>
    <s v="G12-MA-R9"/>
    <s v="PALF"/>
    <x v="1"/>
    <s v="Congo"/>
    <m/>
    <m/>
    <m/>
  </r>
  <r>
    <x v="113"/>
    <s v="DONALD-ROMEO/CONGO Frais d'hôtel du 07 au 10/05/2025 à Dolisie (03 Nuitées)"/>
    <s v="Travel Subsistence"/>
    <s v="Legal"/>
    <n v="45000"/>
    <n v="77.199066886300869"/>
    <n v="579.64599999999996"/>
    <s v="Donald-Romeo"/>
    <s v="DR-MA-R3"/>
    <s v="PALF"/>
    <x v="1"/>
    <s v="Congo"/>
    <m/>
    <m/>
    <m/>
  </r>
  <r>
    <x v="113"/>
    <s v="ROMAIN-CONGO Frais d'Hotel du 07 au 10/05/2025 à Dolisie (03nuitées)"/>
    <s v="Travel Subsistence"/>
    <s v="Legal"/>
    <n v="45000"/>
    <n v="77.199066886300869"/>
    <n v="579.64599999999996"/>
    <s v="Romain"/>
    <s v="RM-MA-R4"/>
    <s v="PALF"/>
    <x v="1"/>
    <s v="Congo"/>
    <m/>
    <m/>
    <m/>
  </r>
  <r>
    <x v="114"/>
    <s v="Entretien palmier bureau PALF"/>
    <s v="Services"/>
    <s v="Office"/>
    <n v="25000"/>
    <n v="42.888370492389377"/>
    <n v="579.64599999999996"/>
    <s v="DOVI"/>
    <s v="CA-MA-R9"/>
    <s v="PALF"/>
    <x v="1"/>
    <s v="Congo"/>
    <m/>
    <m/>
    <m/>
  </r>
  <r>
    <x v="114"/>
    <s v="Achat eau mineral 16 LITRES/Bureau"/>
    <s v="Office Materials"/>
    <s v="Office"/>
    <n v="25000"/>
    <n v="42.888370492389377"/>
    <n v="579.64599999999996"/>
    <s v="Abraham"/>
    <s v="CA-MA-R8"/>
    <s v="PALF"/>
    <x v="1"/>
    <s v="Congo"/>
    <m/>
    <m/>
    <m/>
  </r>
  <r>
    <x v="115"/>
    <s v="Reglement loyer du mois de Mars 2025/3654865"/>
    <s v="Lawyer Fees"/>
    <s v="Legal"/>
    <n v="500000"/>
    <n v="857.76740984778746"/>
    <n v="579.64599999999996"/>
    <s v="BCI"/>
    <s v="BQ-MA-R12"/>
    <s v="PALF"/>
    <x v="1"/>
    <s v="Congo"/>
    <m/>
    <m/>
    <m/>
  </r>
  <r>
    <x v="116"/>
    <s v="Achat billet Brazzaville- Impfondo/P29"/>
    <s v="Transport"/>
    <s v="Investigations"/>
    <n v="33000"/>
    <n v="56.612649049953973"/>
    <n v="579.64599999999996"/>
    <s v="P29"/>
    <s v="P29-MA-R8"/>
    <s v="PALF"/>
    <x v="1"/>
    <s v="Congo"/>
    <m/>
    <m/>
    <m/>
  </r>
  <r>
    <x v="116"/>
    <s v="Achat billet  Brazzaville - Impfondo/T73"/>
    <s v="Transport"/>
    <s v="Investigations"/>
    <n v="33000"/>
    <n v="56.612649049953973"/>
    <n v="579.64599999999996"/>
    <s v="T73"/>
    <s v="T73-MA-R8"/>
    <s v="PALF"/>
    <x v="1"/>
    <s v="Congo"/>
    <m/>
    <m/>
    <m/>
  </r>
  <r>
    <x v="116"/>
    <s v="Achat billet  Brazzaville - Ouesso/G12"/>
    <s v="Transport"/>
    <s v="Investigations"/>
    <n v="10000"/>
    <n v="17.15534819695575"/>
    <n v="579.64599999999996"/>
    <s v="G12"/>
    <s v="G12-MA-R10"/>
    <s v="PALF"/>
    <x v="1"/>
    <s v="Congo"/>
    <m/>
    <m/>
    <m/>
  </r>
  <r>
    <x v="116"/>
    <s v="Achat billet Brazzaville-Impfondo/ Crepin"/>
    <s v="Transport"/>
    <s v="Legal"/>
    <n v="33000"/>
    <n v="56.612649049953973"/>
    <n v="579.64599999999996"/>
    <s v="Crépin"/>
    <s v="CR-MA-R1"/>
    <s v="PALF"/>
    <x v="1"/>
    <s v="Congo"/>
    <m/>
    <m/>
    <m/>
  </r>
  <r>
    <x v="116"/>
    <s v="Achat billet Brazzaville-Impfondo/Donald-Roméo"/>
    <s v="Transport "/>
    <s v="Legal"/>
    <n v="33000"/>
    <n v="56.612649049953973"/>
    <n v="579.64599999999996"/>
    <s v="Donald-Romeo"/>
    <s v="DR-MA-R4"/>
    <s v="PALF"/>
    <x v="1"/>
    <s v="Congo"/>
    <m/>
    <m/>
    <m/>
  </r>
  <r>
    <x v="116"/>
    <s v="RAPATRIEME01100 RAO00010812"/>
    <s v="Grant"/>
    <m/>
    <m/>
    <m/>
    <n v="560.94248000000005"/>
    <s v="BCI"/>
    <s v="BQ-MA-G1"/>
    <s v="PALF"/>
    <x v="5"/>
    <s v="Congo"/>
    <n v="14023562"/>
    <n v="25000"/>
    <m/>
  </r>
  <r>
    <x v="116"/>
    <s v="credit  teléphonique MTN/PALF/ Deuxième partie du mois de mai 2025/Management"/>
    <s v="Telephone"/>
    <s v="Legal"/>
    <n v="10000"/>
    <n v="17.15534819695575"/>
    <n v="579.64599999999996"/>
    <s v="DOVI"/>
    <s v="DH-MA-R3"/>
    <s v="PALF"/>
    <x v="1"/>
    <s v="Congo"/>
    <m/>
    <m/>
    <m/>
  </r>
  <r>
    <x v="116"/>
    <s v="CREPIN-CONGO Ration  du 15/05/ au 04/06/2025 à Ouesso et Impfondo"/>
    <s v="Travel Subsistence"/>
    <s v="Legal"/>
    <n v="200000"/>
    <n v="343.10696393911502"/>
    <n v="579.64599999999996"/>
    <s v="Crépin"/>
    <s v="CR-MA-D1"/>
    <s v="PALF"/>
    <x v="1"/>
    <s v="Congo"/>
    <m/>
    <m/>
    <m/>
  </r>
  <r>
    <x v="116"/>
    <s v="credit  teléphonique MTN/PALF/ Deuxième partie du mois de mai 2025/Legal"/>
    <s v="Telephone"/>
    <s v="Legal"/>
    <n v="5000"/>
    <n v="8.5776740984778748"/>
    <n v="579.64599999999996"/>
    <s v="Crépin"/>
    <s v="CR-MA-R14"/>
    <s v="PALF"/>
    <x v="1"/>
    <s v="Congo"/>
    <m/>
    <m/>
    <m/>
  </r>
  <r>
    <x v="116"/>
    <s v="credit  teléphonique Airtel/PALF/Deuxième  partie du mois de Mail 2025/Legal"/>
    <s v="Telephone"/>
    <s v="Legal"/>
    <n v="5000"/>
    <n v="8.5776740984778748"/>
    <n v="579.64599999999996"/>
    <s v="Crépin"/>
    <s v="CR-MA-R15"/>
    <s v="PALF"/>
    <x v="1"/>
    <s v="Congo"/>
    <m/>
    <m/>
    <m/>
  </r>
  <r>
    <x v="116"/>
    <s v="credit  teléphonique MTN/PALF/ Deuxième partie du mois de mai 2025/Office"/>
    <s v="Telephone"/>
    <s v="Legal"/>
    <n v="10000"/>
    <n v="17.15534819695575"/>
    <n v="579.64599999999996"/>
    <s v="Parfaite"/>
    <s v="P-MA-R2"/>
    <s v="PALF"/>
    <x v="1"/>
    <s v="Congo"/>
    <m/>
    <m/>
    <m/>
  </r>
  <r>
    <x v="116"/>
    <s v="P29 - CONGO Ration  du 15/05 au 05 /06/2025 à  (21 Nuitées)"/>
    <s v="Travel Subsistence"/>
    <s v="Investigations"/>
    <n v="210000"/>
    <n v="360.26231213607076"/>
    <n v="579.64599999999996"/>
    <s v="P29"/>
    <s v="P29-MA-D2"/>
    <s v="PALF"/>
    <x v="1"/>
    <s v="Congo"/>
    <m/>
    <m/>
    <m/>
  </r>
  <r>
    <x v="116"/>
    <s v="credit  teléphonique MTN/PALF/ Deuxième partie du mois de mai 2025/Investigation"/>
    <s v="Telephone"/>
    <s v="Investigations"/>
    <n v="10000"/>
    <n v="17.15534819695575"/>
    <n v="579.64599999999996"/>
    <s v="P29"/>
    <s v="P29-MA-R21"/>
    <s v="PALF"/>
    <x v="1"/>
    <s v="Congo"/>
    <m/>
    <m/>
    <m/>
  </r>
  <r>
    <x v="116"/>
    <s v="credit  teléphonique Airtel/PALF/Deuxième partie du mois de mai 2025/Investigation"/>
    <s v="Telephone"/>
    <s v="Investigations"/>
    <n v="5000"/>
    <n v="8.5776740984778748"/>
    <n v="579.64599999999996"/>
    <s v="P29"/>
    <s v="P29-MA-R22"/>
    <s v="PALF"/>
    <x v="1"/>
    <s v="Congo"/>
    <m/>
    <m/>
    <m/>
  </r>
  <r>
    <x v="116"/>
    <s v="T73-CONGO Ration du 15 au 05 /06/2025 à Impfondo"/>
    <s v="Travel Subsistence"/>
    <s v="Investigations"/>
    <n v="210000"/>
    <n v="360.26231213607076"/>
    <n v="579.64599999999996"/>
    <s v="T73"/>
    <s v="T73-MA-D2"/>
    <s v="PALF"/>
    <x v="1"/>
    <s v="Congo"/>
    <m/>
    <m/>
    <m/>
  </r>
  <r>
    <x v="116"/>
    <s v="T73 - CONGO Frais d'hotel du 15 au 16/05/2025 à Ouesso (01 Nuitée)"/>
    <s v="Travel Subsistence"/>
    <s v="Investigations"/>
    <n v="15000"/>
    <n v="25.733022295433624"/>
    <n v="579.64599999999996"/>
    <s v="T73"/>
    <s v="T73-MA-R9"/>
    <s v="PALF"/>
    <x v="1"/>
    <s v="Congo"/>
    <m/>
    <m/>
    <m/>
  </r>
  <r>
    <x v="116"/>
    <s v="credit  teléphonique MTN/PALF/ Deuxième partie du mois de mai 2025/Investigation"/>
    <s v="Telephone"/>
    <s v="Investigations"/>
    <n v="15000"/>
    <n v="25.733022295433624"/>
    <n v="579.64599999999996"/>
    <s v="T73"/>
    <s v="T73-MA-R18"/>
    <s v="PALF"/>
    <x v="1"/>
    <s v="Congo"/>
    <m/>
    <m/>
    <m/>
  </r>
  <r>
    <x v="116"/>
    <s v="G12-CONGO Rations du 15 au 23/05/2025 à Ouesso, Pokola "/>
    <s v="Travel Subsistence"/>
    <s v="Investigations"/>
    <n v="80000"/>
    <n v="137.242785575646"/>
    <n v="579.64599999999996"/>
    <s v="G12"/>
    <s v="G12-MA-D2"/>
    <s v="PALF"/>
    <x v="1"/>
    <s v="Congo"/>
    <m/>
    <m/>
    <m/>
  </r>
  <r>
    <x v="116"/>
    <s v="credit  teléphonique MTN/PALF/ Deuxième partie du mois de mai 2025/Investigation"/>
    <s v="Telephone"/>
    <s v="Investigations"/>
    <n v="5000"/>
    <n v="8.5776740984778748"/>
    <n v="579.64599999999996"/>
    <s v="G12"/>
    <s v="G12-MA-R20"/>
    <s v="PALF"/>
    <x v="1"/>
    <s v="Congo"/>
    <m/>
    <m/>
    <m/>
  </r>
  <r>
    <x v="116"/>
    <s v="credit  teléphonique Airtel/PALF/Deuxième partie du mois de mai 2025/Investigation"/>
    <s v="Telephone"/>
    <s v="Investigations"/>
    <n v="10000"/>
    <n v="17.15534819695575"/>
    <n v="579.64599999999996"/>
    <s v="G12"/>
    <s v="G12-MA-R21"/>
    <s v="PALF"/>
    <x v="1"/>
    <s v="Congo"/>
    <m/>
    <m/>
    <m/>
  </r>
  <r>
    <x v="116"/>
    <s v="credit  teléphonique MTN/PALF/ Deuxième partie du mois de mai 2025/Legal"/>
    <s v="Telephone"/>
    <s v="Legal"/>
    <n v="5000"/>
    <n v="8.5776740984778748"/>
    <n v="579.64599999999996"/>
    <s v="Abraham"/>
    <s v="AB-MA-R5"/>
    <s v="PALF"/>
    <x v="1"/>
    <s v="Congo"/>
    <m/>
    <m/>
    <m/>
  </r>
  <r>
    <x v="116"/>
    <s v="credit  teléphonique Airtel/PALF/Deuxième  partie du mois de Mail 2025/Legal"/>
    <s v="Telephone"/>
    <s v="Legal"/>
    <n v="5000"/>
    <n v="8.5776740984778748"/>
    <n v="579.64599999999996"/>
    <s v="Abraham"/>
    <s v="AB-MA-R6"/>
    <s v="PALF"/>
    <x v="1"/>
    <s v="Congo"/>
    <m/>
    <m/>
    <m/>
  </r>
  <r>
    <x v="116"/>
    <s v="credit  teléphonique MTN/PALF/ Deuxième partie du mois de mai 2025/Legal"/>
    <s v="Telephone"/>
    <s v="Legal"/>
    <n v="10000"/>
    <n v="17.15534819695575"/>
    <n v="579.64599999999996"/>
    <s v="Roderlin"/>
    <s v="RO-MA-R7"/>
    <s v="PALF"/>
    <x v="1"/>
    <s v="Congo"/>
    <m/>
    <m/>
    <m/>
  </r>
  <r>
    <x v="116"/>
    <s v="DONALD-ROMEO/CONGO Ration  du  15/05 au 04/06/2025 à Ouesso/ Impfondo"/>
    <s v="Travel Subsistence"/>
    <s v="Legal"/>
    <n v="200000"/>
    <n v="343.10696393911502"/>
    <n v="579.64599999999996"/>
    <s v="Donald-Romeo"/>
    <s v="DR-MA-D2"/>
    <s v="PALF"/>
    <x v="1"/>
    <s v="Congo"/>
    <m/>
    <m/>
    <m/>
  </r>
  <r>
    <x v="116"/>
    <s v="credit  teléphonique MTN/PALF/ Deuxième partie du mois de mai 2025/Legal"/>
    <s v="Telephone"/>
    <s v="Legal"/>
    <n v="10000"/>
    <n v="17.15534819695575"/>
    <n v="579.64599999999996"/>
    <s v="Donald-Romeo"/>
    <s v="DR-MA-R10"/>
    <s v="PALF"/>
    <x v="1"/>
    <s v="Congo"/>
    <m/>
    <m/>
    <m/>
  </r>
  <r>
    <x v="116"/>
    <s v="credit  teléphonique MTN/PALF/ Deuxième partie du mois de mai 2025/Legal"/>
    <s v="Telephone"/>
    <s v="Legal"/>
    <n v="10000"/>
    <n v="17.15534819695575"/>
    <n v="579.64599999999996"/>
    <s v="Romain"/>
    <s v="RM-MA-R9"/>
    <s v="PALF"/>
    <x v="1"/>
    <s v="Congo"/>
    <m/>
    <m/>
    <m/>
  </r>
  <r>
    <x v="117"/>
    <s v=" CREPIN-CONGO Frais d'hotel  à Ouesso du 15 au 16/05/2025 (01 Nuitée)"/>
    <s v="Travel Subsistence"/>
    <s v="Legal"/>
    <n v="15000"/>
    <n v="25.733022295433624"/>
    <n v="579.64599999999996"/>
    <s v="Crépin"/>
    <s v="CR-MA-R2"/>
    <s v="PALF"/>
    <x v="1"/>
    <s v="Congo"/>
    <m/>
    <m/>
    <m/>
  </r>
  <r>
    <x v="117"/>
    <s v="P29 -CONGO Frais d'hotel du 15 au 16/05/2025 à ouesso"/>
    <s v="Travel Subsistence"/>
    <s v="Investigations"/>
    <n v="15000"/>
    <n v="25.733022295433624"/>
    <n v="579.64599999999996"/>
    <s v="P29"/>
    <s v="P29-MA-R9"/>
    <s v="PALF"/>
    <x v="1"/>
    <s v="Congo"/>
    <m/>
    <m/>
    <m/>
  </r>
  <r>
    <x v="117"/>
    <s v="Frais d'hôtel/  01 Nuitée du 15 au 16/05/2025 à Ouesso (Hôtel  Divine)"/>
    <s v="Travel Subsistence"/>
    <s v="Legal"/>
    <n v="15000"/>
    <n v="25.733022295433624"/>
    <n v="579.64599999999996"/>
    <s v="Donald-Romeo"/>
    <s v="DR-MA-R5"/>
    <s v="PALF"/>
    <x v="1"/>
    <s v="Congo"/>
    <m/>
    <m/>
    <m/>
  </r>
  <r>
    <x v="118"/>
    <s v="T73 - CONGO Frais d'hotel du 17 au 20/05/2025  à Impfondo (03 nuitée)"/>
    <s v="Travel Subsistence"/>
    <s v="Investigations"/>
    <n v="45000"/>
    <n v="77.199066886300869"/>
    <n v="579.64599999999996"/>
    <s v="T73"/>
    <s v="T73-MA-R10"/>
    <s v="PALF"/>
    <x v="1"/>
    <s v="Congo"/>
    <m/>
    <m/>
    <m/>
  </r>
  <r>
    <x v="118"/>
    <s v="G12-CONGO Frais d'hôtel du 15 /05/2025 au 19/05/2025 à Ouesso (04 Nuitées)"/>
    <s v="Travel Subsistence"/>
    <s v="Investigations"/>
    <n v="60000"/>
    <n v="102.9320891817345"/>
    <n v="579.64599999999996"/>
    <s v="G12"/>
    <s v="G12-MA-R11"/>
    <s v="PALF"/>
    <x v="1"/>
    <s v="Congo"/>
    <m/>
    <m/>
    <m/>
  </r>
  <r>
    <x v="118"/>
    <s v="Achat billet  Ouesso - Pokola/ G12"/>
    <s v="Transport"/>
    <s v="Investigations"/>
    <n v="7000"/>
    <n v="12.008743737869025"/>
    <n v="579.64599999999996"/>
    <s v="G12"/>
    <s v="G12-MA-R12"/>
    <s v="PALF"/>
    <x v="1"/>
    <s v="Congo"/>
    <m/>
    <m/>
    <m/>
  </r>
  <r>
    <x v="118"/>
    <s v="Frais de tansfert d'argent à P29, T73, G12, Crépin et Donald roméo"/>
    <s v="Transfer Fees"/>
    <s v="Office"/>
    <n v="23970"/>
    <n v="41.121369628102933"/>
    <n v="579.64599999999996"/>
    <s v="Abraham"/>
    <s v="CA-MA-R10"/>
    <s v="PALF"/>
    <x v="1"/>
    <s v="Congo"/>
    <m/>
    <m/>
    <m/>
  </r>
  <r>
    <x v="118"/>
    <s v="Fabricarion de cachet numériquebureau PALF"/>
    <s v="Equipment"/>
    <s v="Office"/>
    <n v="42000"/>
    <n v="72.052462427214152"/>
    <n v="579.64599999999996"/>
    <s v="Romain"/>
    <s v="CA-MA-R11"/>
    <s v="PALF"/>
    <x v="1"/>
    <s v="Congo"/>
    <m/>
    <m/>
    <m/>
  </r>
  <r>
    <x v="119"/>
    <s v="Achat billet Impfondo-Epena/P29"/>
    <s v="Transport"/>
    <s v="Investigations"/>
    <n v="10000"/>
    <n v="17.15534819695575"/>
    <n v="579.64599999999996"/>
    <s v="P29"/>
    <s v="P29-MA-R10"/>
    <s v="PALF"/>
    <x v="1"/>
    <s v="Congo"/>
    <m/>
    <m/>
    <m/>
  </r>
  <r>
    <x v="119"/>
    <s v="Achat billet Epena-Impfondo/P29"/>
    <s v="Transport"/>
    <s v="Investigations"/>
    <n v="10000"/>
    <n v="17.15534819695575"/>
    <n v="579.64599999999996"/>
    <s v="P29"/>
    <s v="P29-MA-R11"/>
    <s v="PALF"/>
    <x v="1"/>
    <s v="Congo"/>
    <m/>
    <m/>
    <m/>
  </r>
  <r>
    <x v="119"/>
    <s v="Achat billet  Impfondo - Dangou/T73"/>
    <s v="Transport"/>
    <s v="Investigations"/>
    <n v="10000"/>
    <n v="17.15534819695575"/>
    <n v="579.64599999999996"/>
    <s v="T73"/>
    <s v="T73-MA-R11"/>
    <s v="PALF"/>
    <x v="1"/>
    <s v="Congo"/>
    <m/>
    <m/>
    <m/>
  </r>
  <r>
    <x v="119"/>
    <s v="Achat billet Brazzaville - Makoua/ IT87"/>
    <s v="Transport"/>
    <s v="Investigations"/>
    <n v="9000"/>
    <n v="15.439813377260174"/>
    <n v="579.64599999999996"/>
    <s v="IT87"/>
    <s v="IT87-MA-R1"/>
    <s v="PALF"/>
    <x v="1"/>
    <s v="Congo"/>
    <m/>
    <m/>
    <m/>
  </r>
  <r>
    <x v="119"/>
    <s v="credit  teléphonique du mois de Mai 2025/Investigation"/>
    <s v="Telephone"/>
    <s v="Investigations"/>
    <n v="10000"/>
    <n v="17.827139780891613"/>
    <n v="579.64599999999996"/>
    <s v="IT87"/>
    <s v="IT87-MA-R10"/>
    <s v="PALF"/>
    <x v="1"/>
    <s v="Congo"/>
    <m/>
    <m/>
    <m/>
  </r>
  <r>
    <x v="119"/>
    <s v="Achat billet Brazzaville-Dolisie/Abraham"/>
    <s v="Transport"/>
    <s v="Legal"/>
    <n v="10000"/>
    <n v="17.827139780891613"/>
    <n v="579.64599999999996"/>
    <s v="Abraham"/>
    <s v="AB-MA-R1"/>
    <s v="PALF"/>
    <x v="1"/>
    <s v="Congo"/>
    <m/>
    <m/>
    <m/>
  </r>
  <r>
    <x v="119"/>
    <s v="Frais de transport mission Maitre Alain à Dolisie du 21 au 23/05/2025"/>
    <s v="Transport"/>
    <s v="Legal"/>
    <n v="29000"/>
    <n v="51.698705364585685"/>
    <n v="579.64599999999996"/>
    <s v="Abraham"/>
    <s v="CA-MA-R12"/>
    <s v="PALF"/>
    <x v="1"/>
    <s v="Congo"/>
    <m/>
    <m/>
    <m/>
  </r>
  <r>
    <x v="119"/>
    <s v="Ration et frais d'hotel mission maitre Alain à Dolisie du 21 au 23/05/2025"/>
    <s v="Travel Subsistence"/>
    <s v="Legal"/>
    <n v="50000"/>
    <n v="89.135698904458081"/>
    <n v="579.64599999999996"/>
    <s v="Abraham"/>
    <s v="CA-MA-R13"/>
    <s v="PALF"/>
    <x v="1"/>
    <s v="Congo"/>
    <m/>
    <m/>
    <m/>
  </r>
  <r>
    <x v="119"/>
    <s v="Achat billet Brazzaville-Loudima/ Roderlin"/>
    <s v="Transport"/>
    <s v="Legal"/>
    <n v="8000"/>
    <n v="14.261711824713291"/>
    <n v="579.64599999999996"/>
    <s v="Roderlin"/>
    <s v="RO-MA-R1"/>
    <s v="PALF"/>
    <x v="1"/>
    <s v="Congo"/>
    <m/>
    <m/>
    <m/>
  </r>
  <r>
    <x v="119"/>
    <s v="Bonus du mois d'Avril 2025/Evariste"/>
    <s v="Personnel"/>
    <s v="Media"/>
    <n v="30000"/>
    <n v="53.481419342674847"/>
    <n v="560.94248000000005"/>
    <s v="Evariste"/>
    <s v="CA-MA-D8"/>
    <s v="PALF"/>
    <x v="5"/>
    <s v="Congo"/>
    <m/>
    <m/>
    <m/>
  </r>
  <r>
    <x v="119"/>
    <s v="credit  teléphonique  du mois de mai 2025/Media"/>
    <s v="Telephone"/>
    <s v="Media"/>
    <n v="10000"/>
    <n v="17.827139780891613"/>
    <n v="579.64599999999996"/>
    <s v="Evariste"/>
    <s v="EV-MA-R5"/>
    <s v="PALF"/>
    <x v="1"/>
    <s v="Congo"/>
    <m/>
    <m/>
    <m/>
  </r>
  <r>
    <x v="119"/>
    <s v="Achat billet Brazzaville-Owando/ Romain"/>
    <s v="Transport"/>
    <s v="Legal"/>
    <n v="7000"/>
    <n v="12.47899784662413"/>
    <n v="579.64599999999996"/>
    <s v="Romain"/>
    <s v="RM-MA-R5"/>
    <s v="PALF"/>
    <x v="1"/>
    <s v="Congo"/>
    <m/>
    <m/>
    <m/>
  </r>
  <r>
    <x v="120"/>
    <s v="Achat de 04 power Bank 20000mAh"/>
    <s v="Equipment"/>
    <s v="Office"/>
    <n v="80000"/>
    <n v="142.61711824713291"/>
    <n v="579.64599999999996"/>
    <s v="Parfaite"/>
    <s v="CA-MA-R14"/>
    <s v="PALF"/>
    <x v="1"/>
    <s v="Congo"/>
    <m/>
    <m/>
    <m/>
  </r>
  <r>
    <x v="120"/>
    <s v="Cumul frais de trust building du mois de Mai 2025/T73"/>
    <s v="Trust Building"/>
    <s v="Investigations"/>
    <n v="23000"/>
    <n v="41.002421496050715"/>
    <n v="579.64599999999996"/>
    <s v="T73"/>
    <s v="T73-MA-D3"/>
    <s v="PALF"/>
    <x v="1"/>
    <s v="Congo"/>
    <m/>
    <m/>
    <m/>
  </r>
  <r>
    <x v="120"/>
    <s v="IT87-CONGO Ration du 21 au 29/05/2025 à Makoua, kelle, Etoumbi"/>
    <s v="Travel Subsistence"/>
    <s v="Investigations"/>
    <n v="80000"/>
    <n v="142.61711824713291"/>
    <n v="579.64599999999996"/>
    <s v="IT87"/>
    <s v="IT87-MA-D1"/>
    <s v="PALF"/>
    <x v="1"/>
    <s v="Congo"/>
    <m/>
    <m/>
    <m/>
  </r>
  <r>
    <x v="120"/>
    <s v="G12-CONGO Frais d'hôtel du 19/05/2025 au 21/05/2025 à Pokola (02 Nuitées)"/>
    <s v="Travel Subsistence"/>
    <s v="Investigations"/>
    <n v="30000"/>
    <n v="53.481419342674847"/>
    <n v="579.64599999999996"/>
    <s v="G12"/>
    <s v="G12-MA-R13"/>
    <s v="PALF"/>
    <x v="1"/>
    <s v="Congo"/>
    <m/>
    <m/>
    <m/>
  </r>
  <r>
    <x v="120"/>
    <s v="Achat billet   Pokola - Ouesso/G12"/>
    <s v="Transport"/>
    <s v="Investigations"/>
    <n v="7000"/>
    <n v="12.47899784662413"/>
    <n v="579.64599999999996"/>
    <s v="G12"/>
    <s v="G12-MA-R14"/>
    <s v="PALF"/>
    <x v="1"/>
    <s v="Congo"/>
    <m/>
    <m/>
    <m/>
  </r>
  <r>
    <x v="120"/>
    <s v="ABRAHAM - CONGO Ration du 21 au 23/05/2025 à Dolisie (02 Nuitées)"/>
    <s v="Travel Subsistence"/>
    <s v="Legal"/>
    <n v="20000"/>
    <n v="35.654279561783227"/>
    <n v="579.64599999999996"/>
    <s v="Abraham"/>
    <s v="AB-MA-D1"/>
    <s v="PALF"/>
    <x v="1"/>
    <s v="Congo"/>
    <m/>
    <m/>
    <m/>
  </r>
  <r>
    <x v="120"/>
    <s v="Achat billet Loudima-Sibiti/ Roderlin"/>
    <s v="Transport"/>
    <s v="Legal"/>
    <n v="4000"/>
    <n v="7.1308559123566457"/>
    <n v="579.64599999999996"/>
    <s v="Roderlin"/>
    <s v="RO-MA-R2"/>
    <s v="PALF"/>
    <x v="1"/>
    <s v="Congo"/>
    <m/>
    <m/>
    <m/>
  </r>
  <r>
    <x v="120"/>
    <s v="RODERLIN-CONGO Ration du 21 au 23/05/2025 à Sibiti (02 nuitées)"/>
    <s v="Travel Subsistence"/>
    <s v="Legal"/>
    <n v="20000"/>
    <n v="35.654279561783227"/>
    <n v="579.64599999999996"/>
    <s v="Roderlin"/>
    <s v="RO-MA-D1"/>
    <s v="PALF"/>
    <x v="1"/>
    <s v="Congo"/>
    <m/>
    <m/>
    <m/>
  </r>
  <r>
    <x v="120"/>
    <s v="Achat Billet Brazzaville-Impfondo/ Evariste"/>
    <s v="Transport"/>
    <s v="Media"/>
    <n v="33000"/>
    <n v="58.829561276942329"/>
    <n v="579.64599999999996"/>
    <s v="Evariste"/>
    <s v="EV-MA-R1"/>
    <s v="PALF"/>
    <x v="1"/>
    <s v="Congo"/>
    <m/>
    <m/>
    <m/>
  </r>
  <r>
    <x v="120"/>
    <s v="ROMAIN-CONGO  Ration du 21 au 23/05/2025 à Owando"/>
    <s v="Travel Subsistence"/>
    <s v="Legal"/>
    <n v="20000"/>
    <n v="35.654279561783227"/>
    <n v="579.64599999999996"/>
    <s v="Romain"/>
    <s v="RM-MA-D2"/>
    <s v="PALF"/>
    <x v="1"/>
    <s v="Congo"/>
    <m/>
    <m/>
    <m/>
  </r>
  <r>
    <x v="121"/>
    <s v="T73 - CONGO Frais d'hotel du 20 au 22/05/2025 à Dangou (02 Nuitées)"/>
    <s v="Travel Subsistence"/>
    <s v="Investigations"/>
    <n v="30000"/>
    <n v="53.481419342674847"/>
    <n v="579.64599999999996"/>
    <s v="T73"/>
    <s v="T73-MA-R12"/>
    <s v="PALF"/>
    <x v="1"/>
    <s v="Congo"/>
    <m/>
    <m/>
    <m/>
  </r>
  <r>
    <x v="121"/>
    <s v="Reglement frais de réparation d'ordunateur"/>
    <s v="Services"/>
    <s v="Office"/>
    <n v="10000"/>
    <n v="17.827139780891613"/>
    <n v="579.64599999999996"/>
    <s v="Parfaite"/>
    <s v="CA-MA-R15"/>
    <s v="PALF"/>
    <x v="1"/>
    <s v="Congo"/>
    <m/>
    <m/>
    <m/>
  </r>
  <r>
    <x v="121"/>
    <s v="Achat billet Dangou - impfondo/T73"/>
    <s v="Transport"/>
    <s v="Investigations"/>
    <n v="10000"/>
    <n v="17.827139780891613"/>
    <n v="579.64599999999996"/>
    <s v="T73"/>
    <s v="T73-MA-R13"/>
    <s v="PALF"/>
    <x v="1"/>
    <s v="Congo"/>
    <m/>
    <m/>
    <m/>
  </r>
  <r>
    <x v="121"/>
    <s v="IT87-CONGO Frais d'hôtel du 21 au 22/05/2025 à Makoua (01 nuitée)"/>
    <s v="Travel Subsistence"/>
    <s v="Investigations"/>
    <n v="15000"/>
    <n v="26.740709671337424"/>
    <n v="579.64599999999996"/>
    <s v="IT87"/>
    <s v="IT87-MA-R2"/>
    <s v="PALF"/>
    <x v="1"/>
    <s v="Congo"/>
    <m/>
    <m/>
    <m/>
  </r>
  <r>
    <x v="121"/>
    <s v="Achat billet Makoua - Kelle/ IT87"/>
    <s v="Transport"/>
    <s v="Investigations"/>
    <n v="8000"/>
    <n v="14.261711824713291"/>
    <n v="579.64599999999996"/>
    <s v="IT87"/>
    <s v="IT87-MA-R3"/>
    <s v="PALF"/>
    <x v="1"/>
    <s v="Congo"/>
    <m/>
    <m/>
    <m/>
  </r>
  <r>
    <x v="121"/>
    <s v="Achat billet  Ouesso - Mokeko/G12"/>
    <s v="Transport"/>
    <s v="Investigations"/>
    <n v="3000"/>
    <n v="5.3481419342674847"/>
    <n v="579.64599999999996"/>
    <s v="G12"/>
    <s v="G12-MA-R15"/>
    <s v="PALF"/>
    <x v="1"/>
    <s v="Congo"/>
    <m/>
    <m/>
    <m/>
  </r>
  <r>
    <x v="121"/>
    <s v="achat billet  Mokeko - Ouesso/G12"/>
    <s v="Transport"/>
    <s v="Investigations"/>
    <n v="3000"/>
    <n v="5.3481419342674847"/>
    <n v="579.64599999999996"/>
    <s v="G12"/>
    <s v="G12-MA-R16"/>
    <s v="PALF"/>
    <x v="1"/>
    <s v="Congo"/>
    <m/>
    <m/>
    <m/>
  </r>
  <r>
    <x v="121"/>
    <s v="Achat billet Ouesso - Brazzaville/G12"/>
    <s v="Transport"/>
    <s v="Investigations"/>
    <n v="10000"/>
    <n v="17.827139780891613"/>
    <n v="579.64599999999996"/>
    <s v="G12"/>
    <s v="G12-MA-R17"/>
    <s v="PALF"/>
    <x v="1"/>
    <s v="Congo"/>
    <m/>
    <m/>
    <m/>
  </r>
  <r>
    <x v="121"/>
    <s v="Cumul frais de Jail visits du mois de Mai 2025/ Abraham"/>
    <s v="Jail visit"/>
    <s v="Legal"/>
    <n v="27000"/>
    <n v="48.133277408407359"/>
    <n v="579.64599999999996"/>
    <s v="Abraham"/>
    <s v="AB-MA-D2"/>
    <s v="PALF"/>
    <x v="1"/>
    <s v="Congo"/>
    <m/>
    <m/>
    <m/>
  </r>
  <r>
    <x v="121"/>
    <s v="Cumul Frais de Jail visits du mois de Mai 2025/Roderlin"/>
    <s v="Jail visit"/>
    <s v="Legal"/>
    <n v="9000"/>
    <n v="16.044425802802454"/>
    <n v="579.64599999999996"/>
    <s v="Roderlin"/>
    <s v="RO-MA-D2"/>
    <s v="PALF"/>
    <x v="1"/>
    <s v="Congo"/>
    <m/>
    <m/>
    <m/>
  </r>
  <r>
    <x v="121"/>
    <s v="EVARISTE-CONGO Ration du 22 mai au 04 juin 2025 à d'Impfondo ( 13 nuitées )"/>
    <s v="Travel Subsistence"/>
    <s v="Media"/>
    <n v="130000"/>
    <n v="231.75281715159099"/>
    <n v="579.64599999999996"/>
    <s v="Evariste"/>
    <s v="EV-MA-D1"/>
    <s v="PALF"/>
    <x v="1"/>
    <s v="Congo"/>
    <m/>
    <m/>
    <m/>
  </r>
  <r>
    <x v="121"/>
    <s v="Achat billet  Owando-Brazzaville/ Romain"/>
    <s v="Transport"/>
    <s v="Legal"/>
    <n v="7000"/>
    <n v="12.47899784662413"/>
    <n v="579.64599999999996"/>
    <s v="Romain"/>
    <s v="RM-MA-R6"/>
    <s v="PALF"/>
    <x v="1"/>
    <s v="Congo"/>
    <m/>
    <m/>
    <m/>
  </r>
  <r>
    <x v="121"/>
    <s v="cumul frais de Jail visits du mois de Mai 2025/Romain"/>
    <s v="Jail visit"/>
    <s v="Legal"/>
    <n v="43500"/>
    <n v="77.548058046878523"/>
    <n v="579.64599999999996"/>
    <s v="Romain"/>
    <s v="RM-MA-D3"/>
    <s v="PALF"/>
    <x v="1"/>
    <s v="Congo"/>
    <m/>
    <m/>
    <m/>
  </r>
  <r>
    <x v="122"/>
    <s v="Achat billet Dolisie-Brazzaville /Abraham"/>
    <s v="Transport"/>
    <s v="Legal"/>
    <n v="10000"/>
    <n v="17.827139780891613"/>
    <n v="579.64599999999996"/>
    <s v="Abraham"/>
    <s v="AB-MA-R2"/>
    <s v="PALF"/>
    <x v="1"/>
    <s v="Congo"/>
    <m/>
    <m/>
    <m/>
  </r>
  <r>
    <x v="122"/>
    <s v="Frais de tansfert d'argent à P29, T73, G12, Crépin et Donald roméo"/>
    <s v="Transfer Fees"/>
    <s v="Office"/>
    <n v="42960"/>
    <n v="76.585392498710377"/>
    <n v="579.64599999999996"/>
    <s v="Parfaite"/>
    <s v="CA-MA-R16"/>
    <s v="PALF"/>
    <x v="1"/>
    <s v="Congo"/>
    <m/>
    <m/>
    <m/>
  </r>
  <r>
    <x v="122"/>
    <s v="Frais de tansfert d'argent à IT87"/>
    <s v="Transfer Fees"/>
    <s v="Office"/>
    <n v="4750"/>
    <n v="8.4678913959235178"/>
    <n v="579.64599999999996"/>
    <s v="Parfaite"/>
    <s v="CA-MA-R17"/>
    <s v="PALF"/>
    <x v="1"/>
    <s v="Congo"/>
    <m/>
    <m/>
    <m/>
  </r>
  <r>
    <x v="122"/>
    <s v="Achat billet Impfondo-Epena/P29"/>
    <s v="Transport"/>
    <s v="Investigations"/>
    <n v="10000"/>
    <n v="17.827139780891613"/>
    <n v="579.64599999999996"/>
    <s v="P29"/>
    <s v="P29-MA-R12"/>
    <s v="PALF"/>
    <x v="1"/>
    <s v="Congo"/>
    <m/>
    <m/>
    <m/>
  </r>
  <r>
    <x v="122"/>
    <s v="Achat billet Epena-Impfondo/P29"/>
    <s v="Transport"/>
    <s v="Investigations"/>
    <n v="10000"/>
    <n v="17.827139780891613"/>
    <n v="579.64599999999996"/>
    <s v="P29"/>
    <s v="P29-MA-R13"/>
    <s v="PALF"/>
    <x v="1"/>
    <s v="Congo"/>
    <m/>
    <m/>
    <m/>
  </r>
  <r>
    <x v="122"/>
    <s v="Achat billet Impfondo - Epena/T73"/>
    <s v="Transport"/>
    <s v="Investigations"/>
    <n v="10000"/>
    <n v="17.827139780891613"/>
    <n v="579.64599999999996"/>
    <s v="T73"/>
    <s v="T73-MA-R14"/>
    <s v="PALF"/>
    <x v="1"/>
    <s v="Congo"/>
    <m/>
    <m/>
    <m/>
  </r>
  <r>
    <x v="122"/>
    <s v="Achat billet Epena - Impfondo/T73"/>
    <s v="Transport"/>
    <s v="Investigations"/>
    <n v="10000"/>
    <n v="17.827139780891613"/>
    <n v="579.64599999999996"/>
    <s v="T73"/>
    <s v="T73-MA-R15"/>
    <s v="PALF"/>
    <x v="1"/>
    <s v="Congo"/>
    <m/>
    <m/>
    <m/>
  </r>
  <r>
    <x v="122"/>
    <s v="G12-CONGO Frais d'hôtel du 21 /05/2025 au 23/05/2025 à Ouesso (02 Nuitées)"/>
    <s v="Travel Subsistence"/>
    <s v="Investigations"/>
    <n v="30000"/>
    <n v="53.481419342674847"/>
    <n v="579.64599999999996"/>
    <s v="G12"/>
    <s v="G12-MA-R18"/>
    <s v="PALF"/>
    <x v="1"/>
    <s v="Congo"/>
    <m/>
    <m/>
    <m/>
  </r>
  <r>
    <x v="122"/>
    <s v="ABRAHAM - CONGO frais d'Hôtel  du 21 au 23/05/2025 à Dolisie (02 Nuitées)"/>
    <s v="Travel Subsistence"/>
    <s v="Legal"/>
    <n v="30000"/>
    <n v="53.481419342674847"/>
    <n v="579.64599999999996"/>
    <s v="Abraham"/>
    <s v="AB-MA-R3"/>
    <s v="PALF"/>
    <x v="1"/>
    <s v="Congo"/>
    <m/>
    <m/>
    <m/>
  </r>
  <r>
    <x v="122"/>
    <s v="RODERLIN-CONGO frais d'hôtel du 21 au 23/05/2025 à Sibiti (02 nuitées)"/>
    <s v="Travel Subsistence"/>
    <s v="Legal"/>
    <n v="30000"/>
    <n v="53.481419342674847"/>
    <n v="579.64599999999996"/>
    <s v="Roderlin"/>
    <s v="RO-MA-R3"/>
    <s v="PALF"/>
    <x v="1"/>
    <s v="Congo"/>
    <m/>
    <m/>
    <m/>
  </r>
  <r>
    <x v="122"/>
    <s v="Achat billet Sibiti-Nkayi/ Roderlin"/>
    <s v="Transport"/>
    <s v="Legal"/>
    <n v="5000"/>
    <n v="8.9135698904458067"/>
    <n v="579.64599999999996"/>
    <s v="Roderlin"/>
    <s v="RO-MA-R4"/>
    <s v="PALF"/>
    <x v="1"/>
    <s v="Congo"/>
    <m/>
    <m/>
    <m/>
  </r>
  <r>
    <x v="122"/>
    <s v="Achat billet Nkayi-Brazzaville/ Roderlin"/>
    <s v="Transport"/>
    <s v="Legal"/>
    <n v="7000"/>
    <n v="12.47899784662413"/>
    <n v="579.64599999999996"/>
    <s v="Roderlin"/>
    <s v="RO-MA-R5"/>
    <s v="PALF"/>
    <x v="1"/>
    <s v="Congo"/>
    <m/>
    <m/>
    <m/>
  </r>
  <r>
    <x v="122"/>
    <s v="EVARISTE-CONGO Frais de l'hôtel à Ouesso du 22 au 23 mai 2025 (Une nuitée)"/>
    <s v="Travel Subsistence"/>
    <s v="Media"/>
    <n v="15000"/>
    <n v="26.740709671337424"/>
    <n v="579.64599999999996"/>
    <s v="Evariste"/>
    <s v="EV-MA-R2"/>
    <s v="PALF"/>
    <x v="1"/>
    <s v="Congo"/>
    <m/>
    <m/>
    <m/>
  </r>
  <r>
    <x v="122"/>
    <s v="ROMAIN-CONGO Frais d'hotel du 21 au 23 Mai 2025 à Owando (02 Nuitées)"/>
    <s v="Travel Subsistence"/>
    <s v="Legal"/>
    <n v="30000"/>
    <n v="53.481419342674847"/>
    <n v="579.64599999999996"/>
    <s v="Romain"/>
    <s v="RM-MA-R7"/>
    <s v="PALF"/>
    <x v="1"/>
    <s v="Congo"/>
    <m/>
    <m/>
    <m/>
  </r>
  <r>
    <x v="123"/>
    <s v="EVARISTE-CONGO Frais  d'hôtel  du 23 au 24 mai 2025 à Enyellé (Une nuitée) "/>
    <s v="Travel Subsistence"/>
    <s v="Media"/>
    <n v="15000"/>
    <n v="26.740709671337424"/>
    <n v="579.64599999999996"/>
    <s v="Evariste"/>
    <s v="EV-MA-R3"/>
    <s v="PALF"/>
    <x v="1"/>
    <s v="Congo"/>
    <m/>
    <m/>
    <m/>
  </r>
  <r>
    <x v="124"/>
    <s v="CREPIN-CONGO Frais d'hôtel  du 16 au 26/05/2025 à Impfondo (10 Nuites)/Crepin"/>
    <s v="Travel Subsistence"/>
    <s v="Operations"/>
    <n v="150000"/>
    <n v="267.40709671337424"/>
    <n v="579.64599999999996"/>
    <s v="Crépin"/>
    <s v="CR-MA-R3"/>
    <s v="PALF"/>
    <x v="1"/>
    <s v="Congo"/>
    <m/>
    <m/>
    <m/>
  </r>
  <r>
    <x v="125"/>
    <s v="Paiement salaire du mois de Mai 2025/Homéfa DOVI/3654869"/>
    <s v="Personnel"/>
    <s v="Management"/>
    <n v="1311000"/>
    <n v="2337.1380252748909"/>
    <n v="560.94248000000005"/>
    <s v="BCI"/>
    <s v="BQ-MA-R3"/>
    <s v="PALF"/>
    <x v="5"/>
    <s v="Congo"/>
    <m/>
    <m/>
    <m/>
  </r>
  <r>
    <x v="125"/>
    <s v="Paiement salaire du mois de Mai 2025/BAVOUMINA NZOUSSI Dina Parfaite/365873"/>
    <s v="Personnel"/>
    <s v="Office"/>
    <n v="230000"/>
    <n v="410.02421496050715"/>
    <n v="560.94248000000005"/>
    <s v="BCI"/>
    <s v="BQ-MA-R4"/>
    <s v="PALF"/>
    <x v="5"/>
    <s v="Congo"/>
    <m/>
    <m/>
    <m/>
  </r>
  <r>
    <x v="125"/>
    <s v="Paiement salaire du mois de Mai 2025/FOUMBA Roderlin/3654872"/>
    <s v="Personnel"/>
    <s v="Legal"/>
    <n v="200000"/>
    <n v="356.54279561783233"/>
    <n v="560.94248000000005"/>
    <s v="BCI"/>
    <s v="BQ-MA-R5"/>
    <s v="PALF"/>
    <x v="5"/>
    <s v="Congo"/>
    <m/>
    <m/>
    <m/>
  </r>
  <r>
    <x v="125"/>
    <s v="Paiement salaire du mois de Mai 2025/BOUNGOU MAKOSSO Abraham/3654870"/>
    <s v="Personnel"/>
    <s v="Legal"/>
    <n v="200000"/>
    <n v="356.54279561783233"/>
    <n v="560.94248000000005"/>
    <s v="BCI"/>
    <s v="BQ-MA-R6"/>
    <s v="PALF"/>
    <x v="5"/>
    <s v="Congo"/>
    <m/>
    <m/>
    <m/>
  </r>
  <r>
    <x v="125"/>
    <s v="Paiement salaire du mois de Mai 2025/LOUNDOU JeanRomain/3654871"/>
    <s v="Personnel"/>
    <s v="Legal"/>
    <n v="200000"/>
    <n v="356.54279561783233"/>
    <n v="560.94248000000005"/>
    <s v="BCI"/>
    <s v="BQ-MA-R7"/>
    <s v="PALF"/>
    <x v="5"/>
    <s v="Congo"/>
    <m/>
    <m/>
    <m/>
  </r>
  <r>
    <x v="125"/>
    <s v="Paiement salaire du mois de Mai 2025/Crepin IBOUILI-IBOUILI"/>
    <s v="Personnel"/>
    <s v="Legal"/>
    <n v="551482"/>
    <n v="983.13467006456699"/>
    <n v="560.94248000000005"/>
    <s v="BCI"/>
    <s v="BQ-MA-R8"/>
    <s v="PALF"/>
    <x v="5"/>
    <s v="Congo"/>
    <m/>
    <m/>
    <m/>
  </r>
  <r>
    <x v="125"/>
    <s v="Paiement salaire du mois de  Mai 2025/Evariste LELOUSSI"/>
    <s v="Personnel"/>
    <s v="Media"/>
    <n v="89773"/>
    <n v="160.03958195499828"/>
    <n v="560.94248000000005"/>
    <s v="BCI"/>
    <s v="BQ-MA-R9"/>
    <s v="PALF"/>
    <x v="5"/>
    <s v="Congo"/>
    <m/>
    <m/>
    <m/>
  </r>
  <r>
    <x v="125"/>
    <s v="Paiement salaire du mois de Mai 2025/PINDI BINGA Donald- Roméo"/>
    <s v="Personnel"/>
    <s v="Legal"/>
    <n v="300000"/>
    <n v="534.81419342674849"/>
    <n v="560.94248000000005"/>
    <s v="BCI"/>
    <s v="BQ-MA-R10"/>
    <s v="PALF"/>
    <x v="5"/>
    <s v="Congo"/>
    <m/>
    <m/>
    <m/>
  </r>
  <r>
    <x v="125"/>
    <s v="Achat encre HP Laser noir et couleur 216A"/>
    <s v="Office Materials"/>
    <s v="Office"/>
    <n v="300000"/>
    <n v="534.81419342674849"/>
    <n v="579.64599999999996"/>
    <s v="Parfaite"/>
    <s v="CA-MA-R19"/>
    <s v="PALF"/>
    <x v="1"/>
    <s v="Congo"/>
    <m/>
    <m/>
    <m/>
  </r>
  <r>
    <x v="125"/>
    <s v="P29 -CONGO Frais d'hotel du 16 au 26/05/2025 à impfondo"/>
    <s v="Travel Subsistence"/>
    <s v="Investigations"/>
    <n v="150000"/>
    <n v="267.40709671337424"/>
    <n v="579.64599999999996"/>
    <s v="P29"/>
    <s v="P29-MA-R14"/>
    <s v="PALF"/>
    <x v="1"/>
    <s v="Congo"/>
    <m/>
    <m/>
    <m/>
  </r>
  <r>
    <x v="125"/>
    <s v="Cumul frais de transport local du mois de Mai 2025/P29"/>
    <s v="Transport"/>
    <s v="Investigations"/>
    <n v="94900"/>
    <n v="169.17955652066144"/>
    <n v="579.64599999999996"/>
    <s v="P29"/>
    <s v="P29-MA-D3"/>
    <s v="PALF"/>
    <x v="1"/>
    <s v="Congo"/>
    <m/>
    <m/>
    <m/>
  </r>
  <r>
    <x v="125"/>
    <s v="IT87-CONGO Frais d'hôtel  du 22 au 26/05/2025 à Kelle (04 nuitées)"/>
    <s v="Travel Subsistence"/>
    <s v="Investigations"/>
    <n v="60000"/>
    <n v="106.96283868534969"/>
    <n v="579.64599999999996"/>
    <s v="IT87"/>
    <s v="IT87-MA-R4"/>
    <s v="PALF"/>
    <x v="1"/>
    <s v="Congo"/>
    <m/>
    <m/>
    <m/>
  </r>
  <r>
    <x v="125"/>
    <s v="Achat billet Kelle - Etoumbi/ IT87"/>
    <s v="Transport"/>
    <s v="Investigations"/>
    <n v="5000"/>
    <n v="8.9135698904458067"/>
    <n v="579.64599999999996"/>
    <s v="IT87"/>
    <s v="IT87-MA-R5"/>
    <s v="PALF"/>
    <x v="1"/>
    <s v="Congo"/>
    <m/>
    <m/>
    <m/>
  </r>
  <r>
    <x v="125"/>
    <s v="Cumul frais de trust building du mois de Mai 2025/ IT87"/>
    <s v="Trust Building"/>
    <s v="Investigations"/>
    <n v="12000"/>
    <n v="21.392567737069939"/>
    <n v="579.64599999999996"/>
    <s v="IT87"/>
    <s v="IT87-MA-D2"/>
    <s v="PALF"/>
    <x v="1"/>
    <s v="Congo"/>
    <m/>
    <m/>
    <m/>
  </r>
  <r>
    <x v="125"/>
    <s v="Frais de tansfert d'argent à Evariste et  P29 "/>
    <s v="Transfer Fees"/>
    <s v="Office"/>
    <n v="3800"/>
    <n v="6.7743131167388135"/>
    <n v="579.64599999999996"/>
    <s v="Abraham"/>
    <s v="CA-MA-R18"/>
    <s v="PALF"/>
    <x v="1"/>
    <s v="Congo"/>
    <m/>
    <m/>
    <m/>
  </r>
  <r>
    <x v="125"/>
    <s v="Frais d'impression de la photo et du mandat"/>
    <s v="Court fees"/>
    <s v="Legal"/>
    <n v="1400"/>
    <n v="2.4957995693248263"/>
    <n v="579.64599999999996"/>
    <s v="Donald-Romeo"/>
    <s v="DR-MA-R6"/>
    <s v="PALF"/>
    <x v="1"/>
    <s v="Congo"/>
    <m/>
    <m/>
    <m/>
  </r>
  <r>
    <x v="125"/>
    <s v="Paiement frais d'impression carte de visite coordinateur"/>
    <s v="Office Materials"/>
    <s v="Office"/>
    <n v="20000"/>
    <n v="35.654279561783227"/>
    <n v="579.64599999999996"/>
    <s v="Romain"/>
    <s v="CA-MA-R20"/>
    <s v="PALF"/>
    <x v="1"/>
    <s v="Congo"/>
    <m/>
    <m/>
    <m/>
  </r>
  <r>
    <x v="126"/>
    <s v="Raffraichissements pendant l'attente de l'opération avec 04 gendarmes en civile"/>
    <s v="Travel Subsistence"/>
    <s v="Operations"/>
    <n v="10000"/>
    <n v="17.827139780891613"/>
    <n v="579.64599999999996"/>
    <s v="Crépin"/>
    <s v="CR-MA-R4"/>
    <s v="PALF"/>
    <x v="1"/>
    <s v="Congo"/>
    <m/>
    <m/>
    <m/>
  </r>
  <r>
    <x v="126"/>
    <s v="Raffraichissement pendant la mission sur EPENA"/>
    <s v="Travel Subsistence"/>
    <s v="Operations"/>
    <n v="15000"/>
    <n v="26.740709671337424"/>
    <n v="579.64599999999996"/>
    <s v="Crépin"/>
    <s v="CR-MA-R5"/>
    <s v="PALF"/>
    <x v="1"/>
    <s v="Congo"/>
    <m/>
    <m/>
    <m/>
  </r>
  <r>
    <x v="126"/>
    <s v="Ration pendant la mission sur EPENA  avec 10 gendarmes, Evariste et Roméo"/>
    <s v="Travel Subsistence"/>
    <s v="Operations"/>
    <n v="13000"/>
    <n v="23.175281715159098"/>
    <n v="579.64599999999996"/>
    <s v="Crépin"/>
    <s v="CR-MA-R6"/>
    <s v="PALF"/>
    <x v="1"/>
    <s v="Congo"/>
    <m/>
    <m/>
    <m/>
  </r>
  <r>
    <x v="126"/>
    <s v="Achat de 100 litres de carburant aller et retour Impfondo-EPENA"/>
    <s v="Transport"/>
    <s v="Operations"/>
    <n v="100000"/>
    <n v="178.27139780891616"/>
    <n v="579.64599999999996"/>
    <s v="Crépin"/>
    <s v="CR-MA-R4"/>
    <s v="PALF"/>
    <x v="1"/>
    <s v="Congo"/>
    <m/>
    <m/>
    <m/>
  </r>
  <r>
    <x v="126"/>
    <s v="Bonus pour 03 gendarmes d'EPENA ayant aidé pour l'interpellation de Parfait"/>
    <s v="Travel Subsistence"/>
    <s v="Operations"/>
    <n v="15000"/>
    <n v="26.740709671337424"/>
    <n v="579.64599999999996"/>
    <s v="Crépin"/>
    <s v="CR-MA-R5"/>
    <s v="PALF"/>
    <x v="1"/>
    <s v="Congo"/>
    <m/>
    <m/>
    <m/>
  </r>
  <r>
    <x v="126"/>
    <s v="Frais de tansfert d'argent à P29 et Evariste"/>
    <s v="Transfer Fees"/>
    <s v="Office"/>
    <n v="2625"/>
    <n v="4.6796241924840487"/>
    <n v="579.64599999999996"/>
    <s v="Parfaite"/>
    <s v="CA-MA-R21"/>
    <s v="PALF"/>
    <x v="1"/>
    <s v="Congo"/>
    <m/>
    <m/>
    <m/>
  </r>
  <r>
    <x v="126"/>
    <s v=" Frais de prestation de nettoyage jardin PALF Mai 2025"/>
    <s v="Services"/>
    <s v="Office"/>
    <n v="20000"/>
    <n v="35.654279561783227"/>
    <n v="579.64599999999996"/>
    <s v="Parfaite"/>
    <s v="CA-MA-R22"/>
    <s v="PALF"/>
    <x v="1"/>
    <s v="Congo"/>
    <m/>
    <m/>
    <m/>
  </r>
  <r>
    <x v="126"/>
    <s v="Location véhicule pour extraction Impfondo-Enyelle/P29"/>
    <s v="Transport"/>
    <s v="Investigations"/>
    <n v="315000"/>
    <n v="561.5549030980859"/>
    <n v="579.64599999999996"/>
    <s v="P29"/>
    <s v="P29-MA-R15"/>
    <s v="PALF"/>
    <x v="1"/>
    <s v="Congo"/>
    <m/>
    <m/>
    <m/>
  </r>
  <r>
    <x v="126"/>
    <s v="Cumul frais de trust building du mois de Mai 2025/P29"/>
    <s v="Trust Building"/>
    <s v="Investigations"/>
    <n v="64100"/>
    <n v="114.27196599551526"/>
    <n v="579.64599999999996"/>
    <s v="P29"/>
    <s v="P29-MA-D4"/>
    <s v="PALF"/>
    <x v="1"/>
    <s v="Congo"/>
    <m/>
    <m/>
    <m/>
  </r>
  <r>
    <x v="126"/>
    <s v="T73 - CONGO Frais d'hotel du 22 au 27/05/20225 (05 nuitées) à Impfondo"/>
    <s v="Travel Subsistence"/>
    <s v="Investigations"/>
    <n v="75000"/>
    <n v="133.70354835668712"/>
    <n v="579.64599999999996"/>
    <s v="T73"/>
    <s v="T73-MA-R16"/>
    <s v="PALF"/>
    <x v="1"/>
    <s v="Congo"/>
    <m/>
    <m/>
    <m/>
  </r>
  <r>
    <x v="126"/>
    <s v="Cumul Frais de trust building du mois de Mai 2025/G12"/>
    <s v="Trust Building"/>
    <s v="Investigations"/>
    <n v="14000"/>
    <n v="24.957995693248261"/>
    <n v="579.64599999999996"/>
    <s v="G12"/>
    <s v="G12-MA-D3"/>
    <s v="PALF"/>
    <x v="1"/>
    <s v="Congo"/>
    <m/>
    <m/>
    <m/>
  </r>
  <r>
    <x v="126"/>
    <s v="Paiement Certificats d'hébergement  de martina et valentina"/>
    <s v="Travel Expenses"/>
    <s v="Investigations"/>
    <n v="60000"/>
    <n v="106.96283868534969"/>
    <n v="579.64599999999996"/>
    <s v="Roderlin"/>
    <s v="CA-MA-R23"/>
    <s v="PALF"/>
    <x v="1"/>
    <s v="Congo"/>
    <m/>
    <m/>
    <m/>
  </r>
  <r>
    <x v="126"/>
    <s v="Achat carburant BJ OP"/>
    <s v="Transport "/>
    <s v="Operations"/>
    <n v="25000"/>
    <n v="44.567849452229041"/>
    <n v="579.64599999999996"/>
    <s v="Donald-Romeo"/>
    <s v="DR-MA-R7"/>
    <s v="PALF"/>
    <x v="1"/>
    <s v="Congo"/>
    <m/>
    <m/>
    <m/>
  </r>
  <r>
    <x v="126"/>
    <s v="Raffraichissement OP  à Impfondo/10  gendarmes et moi"/>
    <s v="Travel Subsistence"/>
    <s v="Legal"/>
    <n v="25200"/>
    <n v="44.924392247846868"/>
    <n v="579.64599999999996"/>
    <s v="Donald-Romeo"/>
    <s v="DR-MA-R8"/>
    <s v="PALF"/>
    <x v="1"/>
    <s v="Congo"/>
    <m/>
    <m/>
    <m/>
  </r>
  <r>
    <x v="126"/>
    <s v="Rafraichissement de mon équipe lors de l'opération"/>
    <s v="Travel Subsistence"/>
    <s v="Media"/>
    <n v="10000"/>
    <n v="17.827139780891613"/>
    <n v="579.64599999999996"/>
    <s v="Evariste"/>
    <s v="EV-MA-R4"/>
    <s v="PALF"/>
    <x v="1"/>
    <s v="Congo"/>
    <m/>
    <m/>
    <m/>
  </r>
  <r>
    <x v="127"/>
    <s v="Frais de virement salaire du mois de Mai 2025/Evariste"/>
    <s v="Bank fees"/>
    <s v="Office"/>
    <n v="15166"/>
    <n v="27.036640191700222"/>
    <n v="579.64599999999996"/>
    <s v="BCI"/>
    <s v="BQ-MA-R15"/>
    <s v="PALF"/>
    <x v="1"/>
    <s v="Congo"/>
    <m/>
    <m/>
    <m/>
  </r>
  <r>
    <x v="127"/>
    <s v="Frais de virement salaire du mois de Mai 2025/Crepin IBOUILI"/>
    <s v="Bank fees"/>
    <s v="Office"/>
    <n v="19783"/>
    <n v="35.26743062853788"/>
    <n v="579.64599999999996"/>
    <s v="BCI"/>
    <s v="BQ-MA-R16"/>
    <s v="PALF"/>
    <x v="1"/>
    <s v="Congo"/>
    <m/>
    <m/>
    <m/>
  </r>
  <r>
    <x v="127"/>
    <s v="Frais de virement salaire du mois de Mai 2025/Donald-Roméo"/>
    <s v="Bank fees"/>
    <s v="Office"/>
    <n v="17268"/>
    <n v="30.78390497364364"/>
    <n v="579.64599999999996"/>
    <s v="BCI"/>
    <s v="BQ-MA-R17"/>
    <s v="PALF"/>
    <x v="1"/>
    <s v="Congo"/>
    <m/>
    <m/>
    <m/>
  </r>
  <r>
    <x v="127"/>
    <s v="Bonus de 16 gendarmes ayant participé à l'opération d'Impfondo, le 27/05/2025"/>
    <s v="Travel Subsistence"/>
    <s v="Legal"/>
    <n v="160000"/>
    <n v="285.23423649426582"/>
    <n v="579.64599999999996"/>
    <s v="Crépin"/>
    <s v="CR-MA-R9"/>
    <s v="PALF"/>
    <x v="1"/>
    <s v="Congo"/>
    <m/>
    <m/>
    <m/>
  </r>
  <r>
    <x v="127"/>
    <s v="Bonus de 10 gendarmes ayant effectué la mission d'EPENA le 27/05/2025"/>
    <s v="Travel Subsistence"/>
    <s v="Legal"/>
    <n v="100000"/>
    <n v="178.27139780891616"/>
    <n v="579.64599999999996"/>
    <s v="Crépin"/>
    <s v="CR-MA-R10"/>
    <s v="PALF"/>
    <x v="1"/>
    <s v="Congo"/>
    <m/>
    <m/>
    <m/>
  </r>
  <r>
    <x v="127"/>
    <s v="Bonus de 02 EF pour l'opération du 27/05/2025 à Impfondo"/>
    <s v="Travel Subsistence"/>
    <s v="Legal"/>
    <n v="20000"/>
    <n v="35.654279561783227"/>
    <n v="579.64599999999996"/>
    <s v="Crépin"/>
    <s v="CR-MA-R11"/>
    <s v="PALF"/>
    <x v="1"/>
    <s v="Congo"/>
    <m/>
    <m/>
    <m/>
  </r>
  <r>
    <x v="127"/>
    <s v="Reglement prestation de nettoyage  PALF du mois de Mai 2025"/>
    <s v="Services"/>
    <s v="Office"/>
    <n v="75625"/>
    <n v="134.81774459299285"/>
    <n v="579.64599999999996"/>
    <s v="Parfaite"/>
    <s v="CA-MA-R25"/>
    <s v="PALF"/>
    <x v="1"/>
    <s v="Congo"/>
    <m/>
    <m/>
    <m/>
  </r>
  <r>
    <x v="127"/>
    <s v="P29 -CONGO Frais d'hotel du 25 au 28/05/2025 à Impfondo lieu op(P29) (03 Nuitées)"/>
    <s v="Travel Subsistence"/>
    <s v="Investigations"/>
    <n v="135000"/>
    <n v="240.6663870420368"/>
    <n v="579.64599999999996"/>
    <s v="P29"/>
    <s v="P29-MA-R16"/>
    <s v="PALF"/>
    <x v="1"/>
    <s v="Congo"/>
    <m/>
    <m/>
    <m/>
  </r>
  <r>
    <x v="127"/>
    <s v="P29 -CONGO Frais d'hotel du 25 au 28/05/2025 à Impfondo lieu op(Crépin) (03 Nuitées)"/>
    <s v="Travel Subsistence"/>
    <s v="Investigations"/>
    <n v="135000"/>
    <n v="240.6663870420368"/>
    <n v="579.64599999999996"/>
    <s v="P29"/>
    <s v="P29-MA-R17"/>
    <s v="PALF"/>
    <x v="1"/>
    <s v="Congo"/>
    <m/>
    <m/>
    <m/>
  </r>
  <r>
    <x v="127"/>
    <s v="IT87-CONGO Frais d'hôtel Akoua du 26 au 28/05/2025 à Etoumbi (02 nuitées)"/>
    <s v="Travel Subsistence"/>
    <s v="Investigations"/>
    <n v="30000"/>
    <n v="53.481419342674847"/>
    <n v="579.64599999999996"/>
    <s v="IT87"/>
    <s v="IT87-MA-R6"/>
    <s v="PALF"/>
    <x v="1"/>
    <s v="Congo"/>
    <m/>
    <m/>
    <m/>
  </r>
  <r>
    <x v="127"/>
    <s v="Achat billet Etoumbi - Makoua/ IT87"/>
    <s v="Transport"/>
    <s v="Investigations"/>
    <n v="5000"/>
    <n v="8.9135698904458067"/>
    <n v="579.64599999999996"/>
    <s v="IT87"/>
    <s v="IT87-MA-R7"/>
    <s v="PALF"/>
    <x v="1"/>
    <s v="Congo"/>
    <m/>
    <m/>
    <m/>
  </r>
  <r>
    <x v="127"/>
    <s v="Cumul frais de transport local du mois de Mai 2025/G12"/>
    <s v="Transport"/>
    <s v="Investigations"/>
    <n v="48500"/>
    <n v="86.461627937324337"/>
    <n v="579.64599999999996"/>
    <s v="G12"/>
    <s v="G12-MA-D4"/>
    <s v="PALF"/>
    <x v="1"/>
    <s v="Congo"/>
    <m/>
    <m/>
    <m/>
  </r>
  <r>
    <x v="127"/>
    <s v="Frais de tansfert d'argent à P29 et Evariste"/>
    <s v="Transfer Fees"/>
    <s v="Office"/>
    <n v="3750"/>
    <n v="6.6851774178343559"/>
    <n v="579.64599999999996"/>
    <s v="Abraham"/>
    <s v="CA-MA-R24"/>
    <s v="PALF"/>
    <x v="1"/>
    <s v="Congo"/>
    <m/>
    <m/>
    <m/>
  </r>
  <r>
    <x v="128"/>
    <s v="Achat billet Makoua - Brazzaville/ IT87"/>
    <s v="Transport"/>
    <s v="Investigations"/>
    <n v="8000"/>
    <n v="14.261711824713291"/>
    <n v="579.64599999999996"/>
    <s v="IT87"/>
    <s v="IT87-MA-R8"/>
    <s v="PALF"/>
    <x v="1"/>
    <s v="Congo"/>
    <m/>
    <m/>
    <m/>
  </r>
  <r>
    <x v="128"/>
    <s v="IT87-CONGO Frais d'hôtel  du 28 au 29/05/2025 à Makoua (01 nuitée)"/>
    <s v="Travel Subsistence"/>
    <s v="Investigations"/>
    <n v="15000"/>
    <n v="26.740709671337424"/>
    <n v="579.64599999999996"/>
    <s v="IT87"/>
    <s v="IT87-MA-R9"/>
    <s v="PALF"/>
    <x v="1"/>
    <s v="Congo"/>
    <m/>
    <m/>
    <m/>
  </r>
  <r>
    <x v="128"/>
    <s v="Cumul frais de transport local du mois de Mai 2025/ IT87"/>
    <s v="Transport"/>
    <s v="Investigations"/>
    <n v="28700"/>
    <n v="51.163891171158937"/>
    <n v="579.64599999999996"/>
    <s v="IT87"/>
    <s v="IT87-MA-D3"/>
    <s v="PALF"/>
    <x v="1"/>
    <s v="Congo"/>
    <m/>
    <m/>
    <m/>
  </r>
  <r>
    <x v="129"/>
    <s v="Reglement honoraire du mois de Mai 2025/G12/3654842"/>
    <s v="Personnel"/>
    <s v="Investigations"/>
    <n v="245000"/>
    <n v="436.76492463184456"/>
    <n v="560.94248000000005"/>
    <s v="BCI"/>
    <s v="BQ-MA-R11"/>
    <s v="PALF"/>
    <x v="5"/>
    <s v="Congo"/>
    <m/>
    <m/>
    <m/>
  </r>
  <r>
    <x v="129"/>
    <s v="Cumul frais de transport local du mois de Mai 2025/DOVI"/>
    <s v="Transport"/>
    <s v="Management"/>
    <n v="57000"/>
    <n v="101.61469675108221"/>
    <n v="579.64599999999996"/>
    <s v="DOVI"/>
    <s v="DH-MA-D1"/>
    <s v="PALF"/>
    <x v="1"/>
    <s v="Congo"/>
    <m/>
    <m/>
    <m/>
  </r>
  <r>
    <x v="129"/>
    <s v="credit  teléphonique MTN/PALF/Première partie du mois de Juin 2025/Management"/>
    <s v="Telephone"/>
    <s v="Management"/>
    <n v="21000"/>
    <n v="37.43699353987239"/>
    <n v="579.64599999999996"/>
    <s v="DOVI"/>
    <s v="DH-MA-R4"/>
    <s v="PALF"/>
    <x v="1"/>
    <s v="Congo"/>
    <m/>
    <m/>
    <m/>
  </r>
  <r>
    <x v="129"/>
    <s v="Cumul frais de transport local du mois de Mai 2025/Crepin "/>
    <s v="Transport"/>
    <s v="Legal"/>
    <n v="21500"/>
    <n v="38.328350528916971"/>
    <n v="579.64599999999996"/>
    <s v="Crépin"/>
    <s v="CR-MA-D2"/>
    <s v="PALF"/>
    <x v="1"/>
    <s v="Congo"/>
    <m/>
    <m/>
    <m/>
  </r>
  <r>
    <x v="129"/>
    <s v="credit  teléphonique MTN/PALF/Première partie du mois de JUIN 2025/Legal"/>
    <s v="Telephone"/>
    <s v="Legal"/>
    <n v="16000"/>
    <n v="28.523423649426583"/>
    <n v="579.64599999999996"/>
    <s v="Crépin"/>
    <s v="CR-MA-R16"/>
    <s v="PALF"/>
    <x v="1"/>
    <s v="Congo"/>
    <m/>
    <m/>
    <m/>
  </r>
  <r>
    <x v="129"/>
    <s v="credit  teléphonique Airtel/PALF/Première partie du mois de Juin 2025/Legal"/>
    <s v="Telephone"/>
    <s v="Legal"/>
    <n v="5000"/>
    <n v="8.9135698904458067"/>
    <n v="579.64599999999996"/>
    <s v="Crépin"/>
    <s v="CR-MA-R17"/>
    <s v="PALF"/>
    <x v="1"/>
    <s v="Congo"/>
    <m/>
    <m/>
    <m/>
  </r>
  <r>
    <x v="129"/>
    <s v="Cumul frais de transport local du mois de Mai 2025/ Parfaite"/>
    <s v="Transport"/>
    <s v="Office"/>
    <n v="38500"/>
    <n v="68.634488156432724"/>
    <n v="579.64599999999996"/>
    <s v="Parfaite"/>
    <s v="P-MA-D1"/>
    <s v="PALF"/>
    <x v="1"/>
    <s v="Congo"/>
    <m/>
    <m/>
    <m/>
  </r>
  <r>
    <x v="129"/>
    <s v=" frais de ramassage Ordure Mai 2025"/>
    <s v="Rent &amp; Utilities"/>
    <s v="Office"/>
    <n v="10000"/>
    <n v="17.827139780891613"/>
    <n v="579.64599999999996"/>
    <s v="Parfaite"/>
    <s v="CA-MA-R26"/>
    <s v="PALF"/>
    <x v="1"/>
    <s v="Congo"/>
    <m/>
    <m/>
    <m/>
  </r>
  <r>
    <x v="129"/>
    <s v="Reglement facture internet periode du 01/05 au 30/06/2025 bureau PALF"/>
    <s v="Internet"/>
    <s v="Office"/>
    <n v="45050"/>
    <n v="80.311264712916724"/>
    <n v="579.64599999999996"/>
    <s v="Parfaite"/>
    <s v="CA-MA-R27"/>
    <s v="PALF"/>
    <x v="1"/>
    <s v="Congo"/>
    <m/>
    <m/>
    <m/>
  </r>
  <r>
    <x v="129"/>
    <s v="Frais de tansfert d'argent à P29 et T73"/>
    <s v="Transfer Fees"/>
    <s v="Office"/>
    <n v="11200"/>
    <n v="19.96639655459861"/>
    <n v="579.64599999999996"/>
    <s v="Parfaite"/>
    <s v="CA-MA-R29"/>
    <s v="PALF"/>
    <x v="1"/>
    <s v="Congo"/>
    <m/>
    <m/>
    <m/>
  </r>
  <r>
    <x v="129"/>
    <s v="credit  teléphonique MTN/PALF/Première partie du mois de Juin 2025/Office"/>
    <s v="Telephone"/>
    <s v="Office"/>
    <n v="21000"/>
    <n v="37.43699353987239"/>
    <n v="579.64599999999996"/>
    <s v="Parfaite"/>
    <s v="P-MA-R3"/>
    <s v="PALF"/>
    <x v="1"/>
    <s v="Congo"/>
    <m/>
    <m/>
    <m/>
  </r>
  <r>
    <x v="129"/>
    <s v="credit  teléphonique MTN/PALF/Première partie du mois de Juin 2025/Investigation"/>
    <s v="Telephone"/>
    <s v="Investigations"/>
    <n v="10000"/>
    <n v="17.827139780891613"/>
    <n v="579.64599999999996"/>
    <s v="P29"/>
    <s v="P29-MA-R23"/>
    <s v="PALF"/>
    <x v="1"/>
    <s v="Congo"/>
    <m/>
    <m/>
    <m/>
  </r>
  <r>
    <x v="129"/>
    <s v="credit  teléphonique Airtel/PALF/Première partie du mois de Juin 2025/Investigation"/>
    <s v="Telephone"/>
    <s v="Investigations"/>
    <n v="16000"/>
    <n v="28.523423649426583"/>
    <n v="579.64599999999996"/>
    <s v="P29"/>
    <s v="P29-MA-R24"/>
    <s v="PALF"/>
    <x v="1"/>
    <s v="Congo"/>
    <m/>
    <m/>
    <m/>
  </r>
  <r>
    <x v="129"/>
    <s v="credit  teléphonique MTN/PALF/Première partie du mois de Juin 2025/Investigation"/>
    <s v="Telephone"/>
    <s v="Investigations"/>
    <n v="26000"/>
    <n v="46.350563430318196"/>
    <n v="579.64599999999996"/>
    <s v="T73"/>
    <s v="T73-MA-R19"/>
    <s v="PALF"/>
    <x v="1"/>
    <s v="Congo"/>
    <m/>
    <m/>
    <m/>
  </r>
  <r>
    <x v="129"/>
    <s v="credit  teléphonique MTN/PALF/Première partie du mois de Juin 2025/Investigation"/>
    <s v="Telephone"/>
    <s v="Investigations"/>
    <n v="26000"/>
    <n v="46.350563430318196"/>
    <n v="579.64599999999996"/>
    <s v="IT87"/>
    <s v="IT87-MA-R11"/>
    <s v="PALF"/>
    <x v="1"/>
    <s v="Congo"/>
    <m/>
    <m/>
    <m/>
  </r>
  <r>
    <x v="129"/>
    <s v="credit  teléphonique MTN/PALF/Première partie du mois de Juin 2025/Investigation"/>
    <s v="Telephone"/>
    <s v="Investigations"/>
    <n v="10000"/>
    <n v="17.827139780891613"/>
    <n v="579.64599999999996"/>
    <s v="G12"/>
    <s v="G12-MA-R22"/>
    <s v="PALF"/>
    <x v="1"/>
    <s v="Congo"/>
    <m/>
    <m/>
    <m/>
  </r>
  <r>
    <x v="129"/>
    <s v="credit  teléphonique Airtel/PALF/Première partie du mois de Juin 2025/Investigation"/>
    <s v="Telephone"/>
    <s v="Investigations"/>
    <n v="16000"/>
    <n v="28.523423649426583"/>
    <n v="579.64599999999996"/>
    <s v="G12"/>
    <s v="G12-MA-R23"/>
    <s v="PALF"/>
    <x v="1"/>
    <s v="Congo"/>
    <m/>
    <m/>
    <m/>
  </r>
  <r>
    <x v="129"/>
    <s v="credit  teléphonique MTN/PALF/Première partie du mois de JUIN 2025/Legal"/>
    <s v="Telephone"/>
    <s v="Legal"/>
    <n v="16000"/>
    <n v="28.523423649426583"/>
    <n v="579.64599999999996"/>
    <s v="Abraham"/>
    <s v="AB-MA-R7"/>
    <s v="PALF"/>
    <x v="1"/>
    <s v="Congo"/>
    <m/>
    <m/>
    <m/>
  </r>
  <r>
    <x v="129"/>
    <s v="credit  teléphonique Airtel/PALF/Première partie du mois de Juin 2025/Legal"/>
    <s v="Telephone"/>
    <s v="Legal"/>
    <n v="5000"/>
    <n v="8.9135698904458067"/>
    <n v="579.64599999999996"/>
    <s v="Abraham"/>
    <s v="AB-MA-R8"/>
    <s v="PALF"/>
    <x v="1"/>
    <s v="Congo"/>
    <m/>
    <m/>
    <m/>
  </r>
  <r>
    <x v="129"/>
    <s v="Frais de tansfert d'argent à Crepin, Donald-Roméo et Evariste"/>
    <s v="Transfer Fees"/>
    <s v="Office"/>
    <n v="14100"/>
    <n v="25.136267091057178"/>
    <n v="579.64599999999996"/>
    <s v="Abraham"/>
    <s v="CA-MA-R28"/>
    <s v="PALF"/>
    <x v="1"/>
    <s v="Congo"/>
    <m/>
    <m/>
    <m/>
  </r>
  <r>
    <x v="129"/>
    <s v="Frais de transport mission Maitre Alain à Impfondo du 01 au 06/06/2025"/>
    <s v="Transport"/>
    <s v="Legal"/>
    <n v="74000"/>
    <n v="131.92083437859796"/>
    <n v="579.64599999999996"/>
    <s v="Abraham"/>
    <s v="CA-MA-R30"/>
    <s v="PALF"/>
    <x v="1"/>
    <s v="Congo"/>
    <m/>
    <m/>
    <m/>
  </r>
  <r>
    <x v="129"/>
    <s v="Ration et frais d'hotel mission maitre Alain à Impfondo du 01 au 06/06/2025"/>
    <s v="Travel Subsistence"/>
    <s v="Legal"/>
    <n v="125000"/>
    <n v="222.83924726114518"/>
    <n v="579.64599999999996"/>
    <s v="Abraham"/>
    <s v="CA-MA-R31"/>
    <s v="PALF"/>
    <x v="1"/>
    <s v="Congo"/>
    <m/>
    <m/>
    <m/>
  </r>
  <r>
    <x v="129"/>
    <s v="Cumul Frais de transport local  du mois de Mai 2025/Roderlin"/>
    <s v="Transport"/>
    <s v="Legal"/>
    <n v="26400"/>
    <n v="47.063649021553864"/>
    <n v="579.64599999999996"/>
    <s v="Roderlin"/>
    <s v="RO-MA-D3"/>
    <s v="PALF"/>
    <x v="1"/>
    <s v="Congo"/>
    <m/>
    <m/>
    <m/>
  </r>
  <r>
    <x v="129"/>
    <s v="credit  teléphonique MTN/PALF/Première partie du mois de JUIN 2025/Legal"/>
    <s v="Telephone"/>
    <s v="Legal"/>
    <n v="21000"/>
    <n v="37.43699353987239"/>
    <n v="579.64599999999996"/>
    <s v="Roderlin"/>
    <s v="RO-MA-R8"/>
    <s v="PALF"/>
    <x v="1"/>
    <s v="Congo"/>
    <m/>
    <m/>
    <m/>
  </r>
  <r>
    <x v="129"/>
    <s v="credit  teléphonique MTN/PALF/Première partie du mois de JUIN 2025/Legal"/>
    <s v="Telephone"/>
    <s v="Legal"/>
    <n v="21000"/>
    <n v="37.43699353987239"/>
    <n v="579.64599999999996"/>
    <s v="Donald-Romeo"/>
    <s v="DR-MA-R11"/>
    <s v="PALF"/>
    <x v="1"/>
    <s v="Congo"/>
    <m/>
    <m/>
    <m/>
  </r>
  <r>
    <x v="129"/>
    <s v="Cumul frais de transport local du mois de Mai 2025/ Evariste"/>
    <s v="Transport"/>
    <s v="Media"/>
    <n v="18000"/>
    <n v="32.088851605604908"/>
    <n v="579.64599999999996"/>
    <s v="Evariste"/>
    <s v="EV-MA-D2"/>
    <s v="PALF"/>
    <x v="1"/>
    <s v="Congo"/>
    <m/>
    <m/>
    <m/>
  </r>
  <r>
    <x v="129"/>
    <s v="Cumul frais de transport local du mois de Mai 2025/Romain"/>
    <s v="Transport"/>
    <s v="Legal"/>
    <n v="58400"/>
    <n v="104.11049632040704"/>
    <n v="579.64599999999996"/>
    <s v="Romain"/>
    <s v="RM-MA-D4"/>
    <s v="PALF"/>
    <x v="1"/>
    <s v="Congo"/>
    <m/>
    <m/>
    <m/>
  </r>
  <r>
    <x v="129"/>
    <s v="credit  teléphonique MTN/PALF/Première partie du mois de JUIN 2025/Legal"/>
    <s v="Telephone"/>
    <s v="Legal"/>
    <n v="21000"/>
    <n v="37.43699353987239"/>
    <n v="579.64599999999996"/>
    <s v="Romain"/>
    <s v="RM-MA-R10"/>
    <s v="PALF"/>
    <x v="1"/>
    <s v="Congo"/>
    <m/>
    <m/>
    <m/>
  </r>
  <r>
    <x v="129"/>
    <s v="credit  teléphonique MTN/PALF/Première partie du mois de Juin 2025/Media"/>
    <s v="Telephone"/>
    <s v="Media"/>
    <n v="10000"/>
    <n v="17.827139780891613"/>
    <n v="579.64599999999996"/>
    <s v="Evariste"/>
    <s v="EV-MA-R6"/>
    <s v="PALF"/>
    <x v="1"/>
    <s v="Congo"/>
    <m/>
    <m/>
    <m/>
  </r>
  <r>
    <x v="129"/>
    <s v="credit  teléphonique Airtel/PALF/Première partie du mois de Juin 2025/Media"/>
    <s v="Telephone"/>
    <s v="Media"/>
    <n v="11000"/>
    <n v="19.609853758980776"/>
    <n v="579.64599999999996"/>
    <s v="Evariste"/>
    <s v="EV-MA-R7"/>
    <s v="PALF"/>
    <x v="1"/>
    <s v="Congo"/>
    <m/>
    <m/>
    <m/>
  </r>
  <r>
    <x v="130"/>
    <s v="P29 -CONGO Frais d'hotel du 27 au 31/05/2025 à  enyelle (04 Nuitées)"/>
    <s v="Travel Subsistence"/>
    <s v="Investigations"/>
    <n v="60000"/>
    <n v="106.96283868534969"/>
    <n v="579.64599999999996"/>
    <s v="P29"/>
    <s v="P29-MA-R18"/>
    <s v="PALF"/>
    <x v="1"/>
    <s v="Congo"/>
    <m/>
    <m/>
    <m/>
  </r>
  <r>
    <x v="130"/>
    <s v="Cumul frais de transport local du mois de Mai 2025/T73"/>
    <s v="Transport"/>
    <s v="Investigations"/>
    <n v="99500"/>
    <n v="177.38004081987157"/>
    <n v="579.64599999999996"/>
    <s v="T73"/>
    <s v="T73-MA-D4"/>
    <s v="PALF"/>
    <x v="1"/>
    <s v="Congo"/>
    <m/>
    <m/>
    <m/>
  </r>
  <r>
    <x v="130"/>
    <s v="Cumul frais de transport local du mois de Mai 2025/ Abraham"/>
    <s v="Transport"/>
    <s v="Legal"/>
    <n v="31000"/>
    <n v="55.26413332076401"/>
    <n v="579.64599999999996"/>
    <s v="Abraham"/>
    <s v="AB-MA-D3"/>
    <s v="PALF"/>
    <x v="1"/>
    <s v="Congo"/>
    <m/>
    <m/>
    <m/>
  </r>
  <r>
    <x v="130"/>
    <s v="cumul frais de Jail visits du mois de Mai 2025/Donald-Romeo"/>
    <s v="Jail visit"/>
    <s v="Legal"/>
    <n v="40500"/>
    <n v="72.199916112611035"/>
    <n v="579.64599999999996"/>
    <s v="Donald-Romeo"/>
    <s v="DR-MA-D3"/>
    <s v="PALF"/>
    <x v="1"/>
    <s v="Congo"/>
    <m/>
    <m/>
    <m/>
  </r>
  <r>
    <x v="130"/>
    <s v="Cumul frais de transport local du mois de Mai 2025/Donald-Romeo"/>
    <s v="Transport "/>
    <s v="Legal"/>
    <n v="46000"/>
    <n v="82.00484299210143"/>
    <n v="579.64599999999996"/>
    <s v="Donald-Romeo"/>
    <s v="DR-MA-D4"/>
    <s v="PALF"/>
    <x v="1"/>
    <s v="Congo"/>
    <m/>
    <m/>
    <m/>
  </r>
  <r>
    <x v="131"/>
    <s v="T73 - CONGO Frais d'hotel du 27 au 01/06/2025 à Enyele(5nuitées)"/>
    <s v="Travel Subsistence"/>
    <s v="Investigations"/>
    <n v="75000"/>
    <n v="133.70354835668712"/>
    <n v="579.64599999999996"/>
    <s v="T73"/>
    <s v="T73-J-R1"/>
    <s v="PALF"/>
    <x v="1"/>
    <s v="Congo"/>
    <m/>
    <m/>
    <m/>
  </r>
  <r>
    <x v="131"/>
    <s v="Achat Billet Brazzaville-Impfondo/ Romain"/>
    <s v="Transport"/>
    <s v="Legal"/>
    <n v="33000"/>
    <n v="58.829561276942329"/>
    <n v="579.64599999999996"/>
    <s v="Romain"/>
    <s v="RM-J-R1"/>
    <s v="PALF"/>
    <x v="1"/>
    <s v="Congo"/>
    <m/>
    <m/>
    <m/>
  </r>
  <r>
    <x v="131"/>
    <s v="ROMAIN-CONGO: Ration du 01 au 08/2025 à Impfondo"/>
    <s v="Travel Subsistence"/>
    <s v="Legal"/>
    <n v="70000"/>
    <n v="124.78997846624131"/>
    <n v="579.64599999999996"/>
    <s v="Romain"/>
    <s v="RM-J-D1"/>
    <s v="PALF"/>
    <x v="1"/>
    <s v="Congo"/>
    <m/>
    <m/>
    <m/>
  </r>
  <r>
    <x v="132"/>
    <s v="Frais de transfert d'argent à  Evariste"/>
    <s v="Transfer Fees"/>
    <s v="Office"/>
    <n v="6000"/>
    <n v="10.696283868534969"/>
    <n v="579.64599999999996"/>
    <s v="Roderlin"/>
    <s v="CA-J-R1"/>
    <s v="PALF"/>
    <x v="1"/>
    <s v="Congo"/>
    <m/>
    <m/>
    <m/>
  </r>
  <r>
    <x v="132"/>
    <s v="Bonus media portant sur l'interpallation de 03 trafiquants à Impfondo(Tele congo chaine nationale en langues françcaisn, Kituba et lingala"/>
    <s v="Bonus to media officer"/>
    <s v="Media"/>
    <n v="200000"/>
    <n v="356.54279561783233"/>
    <n v="579.64599999999996"/>
    <s v="Evariste"/>
    <s v="CA-J-D1"/>
    <s v="PALF"/>
    <x v="1"/>
    <s v="Congo"/>
    <m/>
    <m/>
    <m/>
  </r>
  <r>
    <x v="132"/>
    <s v="Romain-CONGO: Frais d'hotel du 01 au 02/06/2025 à Ouesso (01 Nuitée)"/>
    <s v="Travel Subsistence"/>
    <s v="Legal"/>
    <n v="15000"/>
    <n v="26.740709671337424"/>
    <n v="579.64599999999996"/>
    <s v="Romain"/>
    <s v="RM-J-R2"/>
    <s v="PALF"/>
    <x v="1"/>
    <s v="Congo"/>
    <m/>
    <m/>
    <m/>
  </r>
  <r>
    <x v="132"/>
    <s v="Reglement honoraire du mois de Mai 2025/IT87/3654878"/>
    <s v="Personnel"/>
    <s v="Investigations"/>
    <n v="155200"/>
    <n v="276.67720939943786"/>
    <n v="560.94248000000005"/>
    <s v="BCI"/>
    <s v="BQ-J-R1"/>
    <s v="PALF"/>
    <x v="5"/>
    <s v="Congo"/>
    <m/>
    <m/>
    <m/>
  </r>
  <r>
    <x v="132"/>
    <s v="Paiement Honoraire Me LOCKO/Mois de Mai 2025/3654877"/>
    <s v="Lawyer Fees"/>
    <s v="Legal"/>
    <n v="150000"/>
    <n v="267.40709671337424"/>
    <n v="579.64599999999996"/>
    <s v="BCI"/>
    <s v="BQ-J-R2"/>
    <s v="PALF"/>
    <x v="1"/>
    <s v="Congo"/>
    <m/>
    <m/>
    <m/>
  </r>
  <r>
    <x v="133"/>
    <s v="Achat billet Enyele-Brazzaville/ P29"/>
    <s v="Transport"/>
    <s v="Investigations"/>
    <n v="28000"/>
    <n v="49.915991386496522"/>
    <n v="579.64599999999996"/>
    <s v="P29"/>
    <s v="P19-J-R1"/>
    <s v="PALF"/>
    <x v="1"/>
    <s v="Congo"/>
    <m/>
    <m/>
    <m/>
  </r>
  <r>
    <x v="133"/>
    <s v="Frais de tansfert d'argent à  Evariste"/>
    <s v="Transfer Fees"/>
    <s v="Office"/>
    <n v="5675"/>
    <n v="10.116901825655992"/>
    <n v="579.64599999999996"/>
    <s v="Parfaite"/>
    <s v="CA-J-R4"/>
    <s v="PALF"/>
    <x v="1"/>
    <s v="Congo"/>
    <m/>
    <m/>
    <m/>
  </r>
  <r>
    <x v="133"/>
    <s v="P29 -CONGO Frais d'hotel du 31/05 au 03/06/2025 à  enyelle (03 Nuitées)"/>
    <s v="Travel Subsistence"/>
    <s v="Investigations"/>
    <n v="45000"/>
    <n v="80.222129014012268"/>
    <n v="579.64599999999996"/>
    <s v="P29"/>
    <s v="P19-J-R2"/>
    <s v="PALF"/>
    <x v="1"/>
    <s v="Congo"/>
    <m/>
    <m/>
    <m/>
  </r>
  <r>
    <x v="133"/>
    <s v="T73 - CONGO Frais d'hotel du 01 au 03/06/2025 à Enyele (2 nuitées)"/>
    <s v="Travel Subsistence"/>
    <s v="Investigations"/>
    <n v="30000"/>
    <n v="53.481419342674847"/>
    <n v="579.64599999999996"/>
    <s v="T73"/>
    <s v="T73-J-R2"/>
    <s v="PALF"/>
    <x v="1"/>
    <s v="Congo"/>
    <m/>
    <m/>
    <m/>
  </r>
  <r>
    <x v="133"/>
    <s v="Achat billet : Enyele- Brazzaville/T73"/>
    <s v="Transport"/>
    <s v="Investigations"/>
    <n v="28000"/>
    <n v="49.915991386496522"/>
    <n v="579.64599999999996"/>
    <s v="T73"/>
    <s v="T73-J-R3"/>
    <s v="PALF"/>
    <x v="1"/>
    <s v="Congo"/>
    <m/>
    <m/>
    <m/>
  </r>
  <r>
    <x v="133"/>
    <s v="Cumul frais de trust building du mois de Juin 2025/IT87"/>
    <s v="Trust Building"/>
    <s v="Investigations"/>
    <n v="1500"/>
    <n v="2.6740709671337424"/>
    <n v="579.64599999999996"/>
    <s v="IT87"/>
    <s v="IT87-J-D1"/>
    <s v="PALF"/>
    <x v="1"/>
    <s v="Congo"/>
    <m/>
    <m/>
    <m/>
  </r>
  <r>
    <x v="133"/>
    <s v="Frais de transport mission Maitre Helene du 04 au 06/06/2025 à Owando"/>
    <s v="Transport"/>
    <s v="Legal"/>
    <n v="20000"/>
    <n v="35.654279561783227"/>
    <n v="579.64599999999996"/>
    <s v="Roderlin"/>
    <s v="CA-J-R2"/>
    <s v="PALF"/>
    <x v="1"/>
    <s v="Congo"/>
    <m/>
    <m/>
    <m/>
  </r>
  <r>
    <x v="133"/>
    <s v="Ration et frais d'hotel mission maitre Helène du 04 au 06/06/2025 à Owando"/>
    <s v="Travel Subsistence"/>
    <s v="Legal"/>
    <n v="50000"/>
    <n v="89.135698904458081"/>
    <n v="579.64599999999996"/>
    <s v="Roderlin"/>
    <s v="CA-J-R3"/>
    <s v="PALF"/>
    <x v="1"/>
    <s v="Congo"/>
    <m/>
    <m/>
    <m/>
  </r>
  <r>
    <x v="133"/>
    <s v="Achat billet Brazzaville-Owando"/>
    <s v="Transport"/>
    <s v="Legal"/>
    <n v="7000"/>
    <n v="12.47899784662413"/>
    <n v="579.64599999999996"/>
    <s v="Roderlin"/>
    <s v="RO-J-R1"/>
    <s v="PALF"/>
    <x v="1"/>
    <s v="Congo"/>
    <m/>
    <m/>
    <m/>
  </r>
  <r>
    <x v="133"/>
    <s v="Frais d'impression de la procédure de la gendarmerie"/>
    <s v="Office Materials"/>
    <s v="Legal"/>
    <n v="36250"/>
    <n v="64.6233817057321"/>
    <n v="579.64599999999996"/>
    <s v="Donald-Romeo"/>
    <s v="DR-J-R1"/>
    <s v="PALF"/>
    <x v="1"/>
    <s v="Congo"/>
    <m/>
    <m/>
    <m/>
  </r>
  <r>
    <x v="133"/>
    <s v="Achat billet Impfondo-Brazzaville/ Evariste"/>
    <s v="Transport"/>
    <s v="Media"/>
    <n v="33000"/>
    <n v="58.829561276942329"/>
    <n v="579.64599999999996"/>
    <s v="Evariste"/>
    <s v="EV-J-R1"/>
    <s v="PALF"/>
    <x v="1"/>
    <s v="Congo"/>
    <m/>
    <m/>
    <m/>
  </r>
  <r>
    <x v="133"/>
    <s v="Bonus media portant sur l'interpallation de 03 trafiquants à Impfondo ( Pièces presse internet, pièces presse papier et radio)"/>
    <s v="Bonus to media officer"/>
    <s v="Media"/>
    <n v="162000"/>
    <n v="288.79966445044414"/>
    <n v="579.64599999999996"/>
    <s v="Evariste"/>
    <s v="CA-J-D2"/>
    <s v="PALF"/>
    <x v="1"/>
    <s v="Congo"/>
    <m/>
    <m/>
    <m/>
  </r>
  <r>
    <x v="133"/>
    <s v="Romain-CONGO: Frais d'hotel du 02 au 03/06/2025 à Enyele (01 Nuitée)"/>
    <s v="Travel Subsistence"/>
    <s v="Legal"/>
    <n v="15000"/>
    <n v="26.740709671337424"/>
    <n v="579.64599999999996"/>
    <s v="Romain"/>
    <s v="RM-J-R3"/>
    <s v="PALF"/>
    <x v="1"/>
    <s v="Congo"/>
    <m/>
    <m/>
    <m/>
  </r>
  <r>
    <x v="134"/>
    <s v="Règlement Loyer Mai 2025/Coordinateur"/>
    <s v="Personnel"/>
    <s v="Management"/>
    <n v="174625"/>
    <n v="311.30642842381985"/>
    <n v="560.94248000000005"/>
    <s v="DOVI"/>
    <s v="DH-J-R1"/>
    <s v="PALF"/>
    <x v="5"/>
    <s v="Congo"/>
    <m/>
    <m/>
    <m/>
  </r>
  <r>
    <x v="134"/>
    <s v="CREPIN-CONGO Ration du 04 au 15/06/2025 à Impfondo"/>
    <s v="Travel Subsistence"/>
    <s v="Legal"/>
    <n v="111000"/>
    <n v="197.88125156789692"/>
    <n v="579.64599999999996"/>
    <s v="Crepin"/>
    <s v="CR-J-D1"/>
    <s v="PALF"/>
    <x v="1"/>
    <s v="Congo"/>
    <m/>
    <m/>
    <m/>
  </r>
  <r>
    <x v="134"/>
    <s v="Achat fournitures de bureau marqueurs, chemise cartonée, enveloppe , facturier/Bureau PALF"/>
    <s v="Office Materials"/>
    <s v="Office"/>
    <n v="79500"/>
    <n v="141.72576125808834"/>
    <n v="579.64599999999996"/>
    <s v="Parfaite"/>
    <s v="CA-J-R6"/>
    <s v="PALF"/>
    <x v="1"/>
    <s v="Congo"/>
    <m/>
    <m/>
    <m/>
  </r>
  <r>
    <x v="134"/>
    <s v="Frais de tansfert d'argent à  Evariste, Crepin, Romain et Donald-Roméo"/>
    <s v="Transfer Fees"/>
    <s v="Office"/>
    <n v="15500"/>
    <n v="27.632066660382005"/>
    <n v="579.64599999999996"/>
    <s v="Abraham"/>
    <s v="CA-J-R5"/>
    <s v="PALF"/>
    <x v="1"/>
    <s v="Congo"/>
    <m/>
    <m/>
    <m/>
  </r>
  <r>
    <x v="134"/>
    <s v="RODERLIN-CONGO Ration du 04 au 06/06/2025 à Owando (02 nuitées)"/>
    <s v="Travel Subsistence"/>
    <s v="Legal"/>
    <n v="20000"/>
    <n v="35.654279561783227"/>
    <n v="579.64599999999996"/>
    <s v="Roderlin"/>
    <s v="RO-J-D1"/>
    <s v="PALF"/>
    <x v="1"/>
    <s v="Congo"/>
    <m/>
    <m/>
    <m/>
  </r>
  <r>
    <x v="134"/>
    <s v="Donald-Roméo-CONGO Ration du 04 au 15/06/2025 à Impfondo"/>
    <s v="Travel Subsistence"/>
    <s v="Legal"/>
    <n v="111000"/>
    <n v="197.88125156789692"/>
    <n v="579.64599999999996"/>
    <s v="Donald-Romeo"/>
    <s v="DR-J-D1"/>
    <s v="PALF"/>
    <x v="1"/>
    <s v="Congo"/>
    <m/>
    <m/>
    <m/>
  </r>
  <r>
    <x v="134"/>
    <s v="Evariste-CONGO Ration  du 04 au 08 /06/ 2025 à Impfondo"/>
    <s v="Travel Subsistence"/>
    <s v="Media"/>
    <n v="40000"/>
    <n v="71.308559123566454"/>
    <n v="579.64599999999996"/>
    <s v="Evariste"/>
    <s v="EV-J-D1"/>
    <s v="PALF"/>
    <x v="1"/>
    <s v="Congo"/>
    <m/>
    <m/>
    <m/>
  </r>
  <r>
    <x v="134"/>
    <s v="Reglement Facture Gardiennage Mois de Mai 2025/3654876"/>
    <s v="Rent &amp; Utilities"/>
    <s v="Office"/>
    <n v="260000"/>
    <n v="463.50563430318198"/>
    <n v="579.64599999999996"/>
    <s v="BCI"/>
    <s v="BQ-J-R3"/>
    <s v="PALF"/>
    <x v="1"/>
    <s v="Congo"/>
    <m/>
    <m/>
    <m/>
  </r>
  <r>
    <x v="135"/>
    <s v="Frais de transport mission Maitre Alain à Impfondo du 01 au 15/06/2025"/>
    <s v="Transport"/>
    <s v="Office"/>
    <n v="18000"/>
    <n v="32.088851605604908"/>
    <n v="579.64599999999996"/>
    <s v="Parfaite"/>
    <s v="CA-J-R7"/>
    <s v="PALF"/>
    <x v="1"/>
    <s v="Congo"/>
    <m/>
    <m/>
    <m/>
  </r>
  <r>
    <x v="135"/>
    <s v="Ration et frais d'hotel mission maitre Alain à Impfondo du 01 au 15/06/2025"/>
    <s v="Travel Subsistence"/>
    <s v="Legal"/>
    <n v="225000"/>
    <n v="401.11064507006137"/>
    <n v="579.64599999999996"/>
    <s v="Parfaite"/>
    <s v="CA-J-R8"/>
    <s v="PALF"/>
    <x v="1"/>
    <s v="Congo"/>
    <m/>
    <m/>
    <m/>
  </r>
  <r>
    <x v="135"/>
    <s v="Frais de tansfert d'argent à Romain et Me Alain"/>
    <s v="Transfer Fees"/>
    <s v="Legal"/>
    <n v="5550"/>
    <n v="9.8940625783948466"/>
    <n v="579.64599999999996"/>
    <s v="Parfaite"/>
    <s v="CA-J-R9"/>
    <s v="PALF"/>
    <x v="1"/>
    <s v="Congo"/>
    <m/>
    <m/>
    <m/>
  </r>
  <r>
    <x v="135"/>
    <s v="Frais de tansfert d'argent à Roderlin"/>
    <s v="Transfer Fees"/>
    <s v="Office"/>
    <n v="875"/>
    <n v="1.5598747308280163"/>
    <n v="579.64599999999996"/>
    <s v="Parfaite"/>
    <s v="CA-J-R10"/>
    <s v="PALF"/>
    <x v="1"/>
    <s v="Congo"/>
    <m/>
    <m/>
    <m/>
  </r>
  <r>
    <x v="135"/>
    <s v="P29 -CONGO Frais d'hotel du 03 au 05/06/2025 à  oyo (02 Nuitées)"/>
    <s v="Travel Subsistence"/>
    <s v="Investigations"/>
    <n v="30000"/>
    <n v="53.481419342674847"/>
    <n v="579.64599999999996"/>
    <s v="P29"/>
    <s v="P19-J-R3"/>
    <s v="PALF"/>
    <x v="1"/>
    <s v="Congo"/>
    <m/>
    <m/>
    <m/>
  </r>
  <r>
    <x v="135"/>
    <s v="T73 - CONGO Frais d'hotel du 03 au 05/06/2025 (2 nuitées) à Oyo"/>
    <s v="Travel Subsistence"/>
    <s v="Investigations"/>
    <n v="30000"/>
    <n v="53.481419342674847"/>
    <n v="579.64599999999996"/>
    <s v="T73"/>
    <s v="T73-J-R4"/>
    <s v="PALF"/>
    <x v="1"/>
    <s v="Congo"/>
    <m/>
    <m/>
    <m/>
  </r>
  <r>
    <x v="135"/>
    <s v="Paiement des frais de notification de l'ordonnance de règlement definitif du cas EBI Aimé "/>
    <s v="Court fees"/>
    <s v="Legal"/>
    <n v="25000"/>
    <n v="44.567849452229041"/>
    <n v="579.64599999999996"/>
    <s v="Roderlin"/>
    <s v="RO-J-R3"/>
    <s v="PALF"/>
    <x v="1"/>
    <s v="Congo"/>
    <m/>
    <m/>
    <m/>
  </r>
  <r>
    <x v="135"/>
    <s v="Reglement loyer du mois de Mai 2025/3654864"/>
    <s v="Rent &amp; Utilities"/>
    <s v="Office"/>
    <n v="500000"/>
    <n v="891.3569890445807"/>
    <n v="579.64599999999996"/>
    <s v="BCI"/>
    <s v="BQ-J-R4"/>
    <s v="PALF"/>
    <x v="1"/>
    <s v="Congo"/>
    <m/>
    <m/>
    <m/>
  </r>
  <r>
    <x v="136"/>
    <s v="Achat billet Owando- Brazzaville "/>
    <s v="Transport"/>
    <s v="Legal"/>
    <n v="7000"/>
    <n v="12.47899784662413"/>
    <n v="579.64599999999996"/>
    <s v="Roderlin"/>
    <s v="RO-J-R2"/>
    <s v="PALF"/>
    <x v="1"/>
    <s v="Congo"/>
    <m/>
    <m/>
    <m/>
  </r>
  <r>
    <x v="136"/>
    <s v="Achat carburant groupe electrogène Bureau"/>
    <s v="Office Materials"/>
    <s v="Office"/>
    <n v="62500"/>
    <n v="111.41962363057259"/>
    <n v="579.64599999999996"/>
    <s v="T73"/>
    <s v="CA-J-R11"/>
    <s v="PALF"/>
    <x v="1"/>
    <s v="Congo"/>
    <m/>
    <m/>
    <m/>
  </r>
  <r>
    <x v="136"/>
    <s v="Paiement frais de formation"/>
    <s v="Training"/>
    <s v="Team Building"/>
    <n v="50000"/>
    <n v="89.135698904458081"/>
    <n v="579.64599999999996"/>
    <s v="T73"/>
    <s v="T73-J-R5"/>
    <s v="PALF"/>
    <x v="1"/>
    <s v="Congo"/>
    <m/>
    <m/>
    <m/>
  </r>
  <r>
    <x v="136"/>
    <s v="RODERLIN-CONGO frais d'hôtel du 04 au 06/06/2025 à Owando (02 nuitées)"/>
    <s v="Travel Subsistence"/>
    <s v="Legal"/>
    <n v="30000"/>
    <n v="53.481419342674847"/>
    <n v="579.64599999999996"/>
    <s v="Roderlin"/>
    <s v="RO-J-R4"/>
    <s v="PALF"/>
    <x v="1"/>
    <s v="Congo"/>
    <m/>
    <m/>
    <m/>
  </r>
  <r>
    <x v="136"/>
    <s v="Evariste- CONGO Frais de l'hôtel du 24/05 au 06/06/2025 à Impfondo  ( 13 nuitées) "/>
    <s v="Travel Subsistence"/>
    <s v="Media"/>
    <n v="195000"/>
    <n v="347.62922572738648"/>
    <n v="579.64599999999996"/>
    <s v="Evariste"/>
    <s v="EV-J-R2"/>
    <s v="PALF"/>
    <x v="1"/>
    <s v="Congo"/>
    <m/>
    <m/>
    <m/>
  </r>
  <r>
    <x v="136"/>
    <s v="Achat billet Impfondo- Brazzaville/ Romain"/>
    <s v="Transport"/>
    <s v="Legal"/>
    <n v="33000"/>
    <n v="58.829561276942329"/>
    <n v="579.64599999999996"/>
    <s v="Romain"/>
    <s v="RM-J-R4"/>
    <s v="PALF"/>
    <x v="1"/>
    <s v="Congo"/>
    <m/>
    <m/>
    <m/>
  </r>
  <r>
    <x v="136"/>
    <s v="Romain-CONGO: Frais d'hotel du 03 au 06/06/2025 à Impfondo (03 Nuitée)"/>
    <s v="Travel Subsistence"/>
    <s v="Legal"/>
    <n v="45000"/>
    <n v="80.222129014012268"/>
    <n v="579.64599999999996"/>
    <s v="Romain"/>
    <s v="RM-J-R5"/>
    <s v="PALF"/>
    <x v="1"/>
    <s v="Congo"/>
    <m/>
    <m/>
    <m/>
  </r>
  <r>
    <x v="136"/>
    <s v="Reglement honoraire du mois de de Mai 2025/P29/3654880"/>
    <s v="Personnel"/>
    <s v="Investigations"/>
    <n v="550000"/>
    <n v="980.49268794903878"/>
    <n v="560.94248000000005"/>
    <s v="BCI"/>
    <s v="BQ-J-R5"/>
    <s v="PALF"/>
    <x v="5"/>
    <s v="Congo"/>
    <m/>
    <m/>
    <m/>
  </r>
  <r>
    <x v="136"/>
    <s v="Reglement honoraire du mois de Mai 2025/T73/3654881"/>
    <s v="Personnel"/>
    <s v="Investigations"/>
    <n v="355000"/>
    <n v="632.8634622216523"/>
    <n v="560.94248000000005"/>
    <s v="BCI"/>
    <s v="BQ-J-R6"/>
    <s v="PALF"/>
    <x v="5"/>
    <s v="Congo"/>
    <m/>
    <m/>
    <m/>
  </r>
  <r>
    <x v="137"/>
    <s v="Evariste- CONGO Frais de l'hôtel du 06 au 07/06/ 2025 à Enyele (01 nuitée) "/>
    <s v="Travel Subsistence"/>
    <s v="Media"/>
    <n v="15000"/>
    <n v="26.740709671337424"/>
    <n v="579.64599999999996"/>
    <s v="Evariste"/>
    <s v="EV-J-R3"/>
    <s v="PALF"/>
    <x v="1"/>
    <s v="Congo"/>
    <m/>
    <m/>
    <m/>
  </r>
  <r>
    <x v="137"/>
    <s v="ROMAIN-CONGO: Frais d'hotel  du 06 au 07/06/2025 à Enyele (01nuitées)"/>
    <s v="Travel Subsistence"/>
    <s v="Legal"/>
    <n v="15000"/>
    <n v="26.740709671337424"/>
    <n v="579.64599999999996"/>
    <s v="Romain"/>
    <s v="RM-J-R6"/>
    <s v="PALF"/>
    <x v="1"/>
    <s v="Congo"/>
    <m/>
    <m/>
    <m/>
  </r>
  <r>
    <x v="138"/>
    <s v="Evariste- CONGO Frais de l'hôtel du 07 au 08/06/2025 à Gamboma (01 nuitée)"/>
    <s v="Travel Subsistence"/>
    <s v="Media"/>
    <n v="15000"/>
    <n v="26.740709671337424"/>
    <n v="579.64599999999996"/>
    <s v="Evariste"/>
    <s v="EV-J-R4"/>
    <s v="PALF"/>
    <x v="1"/>
    <s v="Congo"/>
    <m/>
    <m/>
    <m/>
  </r>
  <r>
    <x v="138"/>
    <s v="ROMAIN-CONGO: Frais d'hotel  du 07 au 08/06/2025 Gamboma (01nuitées)"/>
    <s v="Travel Subsistence"/>
    <s v="Legal"/>
    <n v="15000"/>
    <n v="26.740709671337424"/>
    <n v="579.64599999999996"/>
    <s v="Romain"/>
    <s v="RM-J-R7"/>
    <s v="PALF"/>
    <x v="1"/>
    <s v="Congo"/>
    <m/>
    <m/>
    <m/>
  </r>
  <r>
    <x v="139"/>
    <s v="Achat billet Brazzaville-Owando"/>
    <s v="Transport"/>
    <s v="Legal"/>
    <n v="7000"/>
    <n v="12.47899784662413"/>
    <n v="579.64599999999996"/>
    <s v="Roderlin"/>
    <s v="RO-J-R5"/>
    <s v="PALF"/>
    <x v="1"/>
    <s v="Congo"/>
    <m/>
    <m/>
    <m/>
  </r>
  <r>
    <x v="139"/>
    <s v="Frais de transport mission Maitre Hélene  du 11 au 14/06/2025 à Owando"/>
    <s v="Transport"/>
    <s v="Legal"/>
    <n v="22000"/>
    <n v="39.219707517961552"/>
    <n v="579.64599999999996"/>
    <s v="Roderlin"/>
    <s v="CA-J-R12"/>
    <s v="PALF"/>
    <x v="1"/>
    <s v="Congo"/>
    <m/>
    <m/>
    <m/>
  </r>
  <r>
    <x v="139"/>
    <s v="Ration et frais d'hotel mission maitre Hélène du 11 au 14/06/2025 à Owando"/>
    <s v="Travel Subsistence"/>
    <s v="Legal"/>
    <n v="75000"/>
    <n v="133.70354835668712"/>
    <n v="579.64599999999996"/>
    <s v="Roderlin"/>
    <s v="CA-J-R13"/>
    <s v="PALF"/>
    <x v="1"/>
    <s v="Congo"/>
    <m/>
    <m/>
    <m/>
  </r>
  <r>
    <x v="140"/>
    <s v="Bonus du mois de Mai 2025/Abraham"/>
    <s v="Personnel"/>
    <s v="Legal"/>
    <n v="30000"/>
    <n v="53.481419342674847"/>
    <n v="560.94248000000005"/>
    <s v="Abraham"/>
    <s v="CA-J-D3"/>
    <s v="PALF"/>
    <x v="5"/>
    <s v="Congo"/>
    <m/>
    <m/>
    <m/>
  </r>
  <r>
    <x v="140"/>
    <s v="Achat billet Brazzaville-Loudima/Abraham"/>
    <s v="Transport"/>
    <s v="Legal"/>
    <n v="8000"/>
    <n v="14.261711824713291"/>
    <n v="579.64599999999996"/>
    <s v="Abraham"/>
    <s v="AB-J-R1"/>
    <s v="PALF"/>
    <x v="1"/>
    <s v="Congo"/>
    <m/>
    <m/>
    <m/>
  </r>
  <r>
    <x v="141"/>
    <s v="ABRAHAM - CONGO Ration du 11 au 13/06/2025 à Sibiti (02 Nuitées)"/>
    <s v="Travel Subsistence"/>
    <s v="Legal"/>
    <n v="30000"/>
    <n v="53.481419342674847"/>
    <n v="579.64599999999996"/>
    <s v="Abraham"/>
    <s v="AB-J-D1"/>
    <s v="PALF"/>
    <x v="1"/>
    <s v="Congo"/>
    <m/>
    <m/>
    <m/>
  </r>
  <r>
    <x v="141"/>
    <s v="Taxi: Loudima-Sibiti"/>
    <s v="Transport"/>
    <s v="Legal"/>
    <n v="4000"/>
    <n v="7.1308559123566457"/>
    <n v="579.64599999999996"/>
    <s v="Abraham"/>
    <s v="AB-J-R2"/>
    <s v="PALF"/>
    <x v="1"/>
    <s v="Congo"/>
    <m/>
    <m/>
    <m/>
  </r>
  <r>
    <x v="141"/>
    <s v="RODERLIN-CONGO Ration du 11 au 14/06/2025 à Owando (03 nuitées)"/>
    <s v="Travel Subsistence"/>
    <s v="Legal"/>
    <n v="30000"/>
    <n v="53.481419342674847"/>
    <n v="579.64599999999996"/>
    <s v="Roderlin"/>
    <s v="RO-J-D2"/>
    <s v="PALF"/>
    <x v="1"/>
    <s v="Congo"/>
    <m/>
    <m/>
    <m/>
  </r>
  <r>
    <x v="141"/>
    <s v="Bonus du mois de Mai 2025/Evariste"/>
    <s v="Personnel"/>
    <s v="Media"/>
    <n v="20000"/>
    <n v="35.654279561783227"/>
    <n v="560.94248000000005"/>
    <s v="Evariste"/>
    <s v="CA-J-D4"/>
    <s v="PALF"/>
    <x v="5"/>
    <s v="Congo"/>
    <m/>
    <m/>
    <m/>
  </r>
  <r>
    <x v="141"/>
    <s v="Bonus opération du 27/05/2025 à Impfondo/Evariste"/>
    <s v="Bonus"/>
    <s v="Operations"/>
    <n v="40000"/>
    <n v="71.308559123566454"/>
    <n v="579.64599999999996"/>
    <s v="Evariste"/>
    <s v="CA-J-D5"/>
    <s v="PALF"/>
    <x v="1"/>
    <s v="Congo"/>
    <m/>
    <m/>
    <m/>
  </r>
  <r>
    <x v="141"/>
    <s v="Cumul frais de transport local du mois de Juin 2025/Romain"/>
    <s v="Transport"/>
    <s v="Legal"/>
    <n v="22500"/>
    <n v="40.111064507006134"/>
    <n v="579.64599999999996"/>
    <s v="Romain"/>
    <s v="RM-J-D2"/>
    <s v="PALF"/>
    <x v="1"/>
    <s v="Congo"/>
    <m/>
    <m/>
    <m/>
  </r>
  <r>
    <x v="141"/>
    <s v="Frais de tansfert d'argent à Crépin et Donald-Roméo"/>
    <s v="Transfer Fees"/>
    <s v="Office"/>
    <n v="9600"/>
    <n v="17.114054189655949"/>
    <n v="579.64599999999996"/>
    <s v="Romain"/>
    <s v="CA-J-R14"/>
    <s v="PALF"/>
    <x v="1"/>
    <s v="Congo"/>
    <m/>
    <m/>
    <m/>
  </r>
  <r>
    <x v="141"/>
    <s v="Bonus du mois de Mai 2025/Romain"/>
    <s v="Personnel"/>
    <s v="Legal"/>
    <n v="30000"/>
    <n v="53.481419342674847"/>
    <n v="560.94248000000005"/>
    <s v="Romain"/>
    <s v="CA-J-D6"/>
    <s v="PALF"/>
    <x v="5"/>
    <s v="Congo"/>
    <m/>
    <m/>
    <m/>
  </r>
  <r>
    <x v="141"/>
    <s v="Prime du 13 eme Mois 2024/Romain"/>
    <s v="Personnel"/>
    <s v="Legal"/>
    <n v="127070"/>
    <n v="226.52946519578975"/>
    <n v="560.94248000000005"/>
    <s v="Romain"/>
    <s v="CA-J-D7"/>
    <s v="PALF"/>
    <x v="5"/>
    <s v="Congo"/>
    <m/>
    <m/>
    <m/>
  </r>
  <r>
    <x v="142"/>
    <s v="Achat de 02 petit telephone bureau PALF"/>
    <s v="Equipment"/>
    <s v="Office"/>
    <n v="18000"/>
    <n v="32.088851605604908"/>
    <n v="579.64599999999996"/>
    <s v="Parfaite"/>
    <s v="CA-J-R15"/>
    <s v="PALF"/>
    <x v="1"/>
    <s v="Congo"/>
    <m/>
    <m/>
    <m/>
  </r>
  <r>
    <x v="142"/>
    <s v="Bonus du mois de Mai 2025/Parfaite"/>
    <s v="Personnel"/>
    <s v="Management"/>
    <n v="30000"/>
    <n v="53.481419342674847"/>
    <n v="560.94248000000005"/>
    <s v="Parfaite"/>
    <s v="CA-J-D8"/>
    <s v="PALF"/>
    <x v="5"/>
    <s v="Congo"/>
    <m/>
    <m/>
    <m/>
  </r>
  <r>
    <x v="142"/>
    <s v="Paiement salaire du mois de Mai 2025/LOUNDOU JeanRomain/3654891"/>
    <s v="Personnel"/>
    <s v="Legal"/>
    <n v="220293"/>
    <n v="392.71941037519565"/>
    <n v="560.94248000000005"/>
    <s v="BCI"/>
    <s v="BQ-J-R7"/>
    <s v="PALF"/>
    <x v="5"/>
    <s v="Congo"/>
    <m/>
    <m/>
    <m/>
  </r>
  <r>
    <x v="143"/>
    <s v="Achat billet Impfondo-Brazzaville/Donald-Roméo"/>
    <s v="Transport "/>
    <s v="Legal"/>
    <n v="33000"/>
    <n v="58.829561276942329"/>
    <n v="579.64599999999996"/>
    <s v="Donald-Romeo"/>
    <s v="DR-J-R2"/>
    <s v="PALF"/>
    <x v="1"/>
    <s v="Congo"/>
    <m/>
    <m/>
    <m/>
  </r>
  <r>
    <x v="143"/>
    <s v="Achat Billet Impfondo-Brazzaville/ Crepin"/>
    <s v="Transport"/>
    <s v="Legal"/>
    <n v="33000"/>
    <n v="58.829561276942329"/>
    <n v="579.64599999999996"/>
    <s v="Crepin"/>
    <s v="CR-J-R1"/>
    <s v="PALF"/>
    <x v="1"/>
    <s v="Congo"/>
    <m/>
    <m/>
    <m/>
  </r>
  <r>
    <x v="143"/>
    <s v=" Crepin-CONGO Frais d'hôtel du 27/05 au 13/06 2025  à Impfondo (17 Nuitées)"/>
    <s v="Travel Subsistence"/>
    <s v="Legal"/>
    <n v="255000"/>
    <n v="454.59206441273619"/>
    <n v="579.64599999999996"/>
    <s v="Crepin"/>
    <s v="CR-J-R2"/>
    <s v="PALF"/>
    <x v="1"/>
    <s v="Congo"/>
    <m/>
    <m/>
    <m/>
  </r>
  <r>
    <x v="143"/>
    <s v="Frais de tansfert d'argent à Roderlin et Abraham"/>
    <s v="Transfer Fees"/>
    <s v="Office"/>
    <n v="1600"/>
    <n v="2.8523423649426585"/>
    <n v="579.64599999999996"/>
    <s v="Parfaite"/>
    <s v="CA-J-R16"/>
    <s v="PALF"/>
    <x v="1"/>
    <s v="Congo"/>
    <m/>
    <m/>
    <m/>
  </r>
  <r>
    <x v="143"/>
    <s v="Donald Roméo-CONGO Frais d'hôtel du 16/05 au 13/06/2025 à Impfondo ( 28 Nuitées )"/>
    <s v="Travel Subsistence"/>
    <s v="Legal"/>
    <n v="420000"/>
    <n v="748.73987079744779"/>
    <n v="579.64599999999996"/>
    <s v="Donald-Romeo"/>
    <s v="DR-J-R3"/>
    <s v="PALF"/>
    <x v="1"/>
    <s v="Congo"/>
    <m/>
    <m/>
    <m/>
  </r>
  <r>
    <x v="144"/>
    <s v="Achat billet Owando- Brazzaville "/>
    <s v="Transport"/>
    <s v="Legal"/>
    <n v="7000"/>
    <n v="12.47899784662413"/>
    <n v="579.64599999999996"/>
    <s v="Roderlin"/>
    <s v="RO-J-R6"/>
    <s v="PALF"/>
    <x v="1"/>
    <s v="Congo"/>
    <m/>
    <m/>
    <m/>
  </r>
  <r>
    <x v="144"/>
    <s v="Crépin-CONGO Frais d'hôtel du 13 au 14/06/2025 à Enyele (01 nuitée)"/>
    <s v="Travel Subsistence"/>
    <s v="Legal"/>
    <n v="15000"/>
    <n v="26.740709671337424"/>
    <n v="579.64599999999996"/>
    <s v="Crepin"/>
    <s v="CR-J-R3"/>
    <s v="PALF"/>
    <x v="1"/>
    <s v="Congo"/>
    <m/>
    <m/>
    <m/>
  </r>
  <r>
    <x v="144"/>
    <s v="ABRAHAM - CONGO frais d'Hôtel (Hôtel Le Papyrus) du 11 au 14/06/2025 à Sibiti (03 Nuitées)"/>
    <s v="Travel Subsistence"/>
    <s v="Legal"/>
    <n v="45000"/>
    <n v="80.222129014012268"/>
    <n v="579.64599999999996"/>
    <s v="Abraham"/>
    <s v="AB-J-R3"/>
    <s v="PALF"/>
    <x v="1"/>
    <s v="Congo"/>
    <m/>
    <m/>
    <m/>
  </r>
  <r>
    <x v="144"/>
    <s v="Taxi: Sibiti-Nkayi"/>
    <s v="Transport"/>
    <s v="Legal"/>
    <n v="5000"/>
    <n v="8.9135698904458067"/>
    <n v="579.64599999999996"/>
    <s v="Abraham"/>
    <s v="AB-J-R4"/>
    <s v="PALF"/>
    <x v="1"/>
    <s v="Congo"/>
    <m/>
    <m/>
    <m/>
  </r>
  <r>
    <x v="144"/>
    <s v="Achat Billet Nkayi-Brazzaville"/>
    <s v="Transport"/>
    <s v="Legal"/>
    <n v="7000"/>
    <n v="12.47899784662413"/>
    <n v="579.64599999999996"/>
    <s v="Abraham"/>
    <s v="AB-J-R5"/>
    <s v="PALF"/>
    <x v="1"/>
    <s v="Congo"/>
    <m/>
    <m/>
    <m/>
  </r>
  <r>
    <x v="144"/>
    <s v="RODERLIN-CONGO frais d'hôtel du 11 au 14/06/2025 à Owando (03 nuitées)"/>
    <s v="Travel Subsistence"/>
    <s v="Legal"/>
    <n v="45000"/>
    <n v="80.222129014012268"/>
    <n v="579.64599999999996"/>
    <s v="Roderlin"/>
    <s v="RO-J-R7"/>
    <s v="PALF"/>
    <x v="1"/>
    <s v="Congo"/>
    <m/>
    <m/>
    <m/>
  </r>
  <r>
    <x v="144"/>
    <s v="Donald Roméo- CONGO Frais d'hôtel du 13 au 14/06/2025 à Enyele ( 01 Nuitée)"/>
    <s v="Travel Subsistence"/>
    <s v="Legal"/>
    <n v="15000"/>
    <n v="26.740709671337424"/>
    <n v="579.64599999999996"/>
    <s v="Donald-Romeo"/>
    <s v="DR-J-R4"/>
    <s v="PALF"/>
    <x v="1"/>
    <s v="Congo"/>
    <m/>
    <m/>
    <m/>
  </r>
  <r>
    <x v="145"/>
    <s v="Frais d'Hôtel, Crépin-CONGO Frais d'hôtel du 14 au 15/06/2025 à Oyo (01 Nuitée )"/>
    <s v="Travel Subsistence"/>
    <s v="Legal"/>
    <n v="15000"/>
    <n v="26.740709671337424"/>
    <n v="579.64599999999996"/>
    <s v="Crepin"/>
    <s v="CR-J-R4"/>
    <s v="PALF"/>
    <x v="1"/>
    <s v="Congo"/>
    <m/>
    <m/>
    <m/>
  </r>
  <r>
    <x v="145"/>
    <s v="Donald Roméo- CONGO Frais d'hôtel du 14 au 15/06/2025 à Oyo  01 Nuitée)"/>
    <s v="Travel Subsistence"/>
    <s v="Legal"/>
    <n v="15000"/>
    <n v="26.740709671337424"/>
    <n v="579.64599999999996"/>
    <s v="Donald-Romeo"/>
    <s v="DR-J-R5"/>
    <s v="PALF"/>
    <x v="1"/>
    <s v="Congo"/>
    <m/>
    <m/>
    <m/>
  </r>
  <r>
    <x v="146"/>
    <s v="Credit telephonique MTN PALF/Deuxième partie du mois de Juin 2025/DOVI"/>
    <s v="Telephone"/>
    <s v="Management"/>
    <n v="10000"/>
    <n v="17.827139780891613"/>
    <n v="579.64599999999996"/>
    <s v="DOVI"/>
    <s v="DH-J-R2"/>
    <s v="PALF"/>
    <x v="1"/>
    <s v="Congo"/>
    <m/>
    <m/>
    <m/>
  </r>
  <r>
    <x v="146"/>
    <s v="Bonus du mois de Mai 2025/Crepin"/>
    <s v="Personnel"/>
    <s v="Legal"/>
    <n v="30000"/>
    <n v="53.481419342674847"/>
    <n v="560.94248000000005"/>
    <s v="Crepin"/>
    <s v="CA-J-D9"/>
    <s v="PALF"/>
    <x v="5"/>
    <s v="Congo"/>
    <m/>
    <m/>
    <m/>
  </r>
  <r>
    <x v="146"/>
    <s v="Bonus operation du 27/05/2025 à Impfondo/Crepin"/>
    <s v="Bonus"/>
    <s v="Operations"/>
    <n v="50000"/>
    <n v="89.135698904458081"/>
    <n v="579.64599999999996"/>
    <s v="Crepin"/>
    <s v="CA-J-D10"/>
    <s v="PALF"/>
    <x v="1"/>
    <s v="Congo"/>
    <m/>
    <m/>
    <m/>
  </r>
  <r>
    <x v="146"/>
    <s v="Credit teléphonique MTN PALF/Deuxième partie du mois de Juin 2025/Crepin"/>
    <s v="Telephone"/>
    <s v="Legal"/>
    <n v="5000"/>
    <n v="8.9135698904458067"/>
    <n v="579.64599999999996"/>
    <s v="Crepin"/>
    <s v="CR-J-R5"/>
    <s v="PALF"/>
    <x v="1"/>
    <s v="Congo"/>
    <m/>
    <m/>
    <m/>
  </r>
  <r>
    <x v="146"/>
    <s v="Credit teléphonique AIRTEL PALF/Deuxième partie du mois de Juin 2025/Crepin"/>
    <s v="Telephone"/>
    <s v="Legal"/>
    <n v="5000"/>
    <n v="8.9135698904458067"/>
    <n v="579.64599999999996"/>
    <s v="Crepin"/>
    <s v="CR-J-R6"/>
    <s v="PALF"/>
    <x v="1"/>
    <s v="Congo"/>
    <m/>
    <m/>
    <m/>
  </r>
  <r>
    <x v="146"/>
    <s v="Credit teléphonique MTN PALF/Deuxième partie du mois de Juin 2025/ Parfaite"/>
    <s v="Telephone"/>
    <s v="Management"/>
    <n v="10000"/>
    <n v="17.827139780891613"/>
    <n v="579.64599999999996"/>
    <s v="Parfaite"/>
    <s v="P-J-R1"/>
    <s v="PALF"/>
    <x v="1"/>
    <s v="Congo"/>
    <m/>
    <m/>
    <m/>
  </r>
  <r>
    <x v="146"/>
    <s v="Credit teléphonique MTN PALF/Deuxième partie du mois de Juin 2025/P29"/>
    <s v="Telephone"/>
    <s v="Investigations"/>
    <n v="10000"/>
    <n v="17.827139780891613"/>
    <n v="579.64599999999996"/>
    <s v="P29"/>
    <s v="P19-J-R4"/>
    <s v="PALF"/>
    <x v="1"/>
    <s v="Congo"/>
    <m/>
    <m/>
    <m/>
  </r>
  <r>
    <x v="146"/>
    <s v="credit teléphonique AIRTEL PALF/Deuxième partie du mois de Juin 2025/P29"/>
    <s v="Telephone"/>
    <s v="Investigations"/>
    <n v="5000"/>
    <n v="8.9135698904458067"/>
    <n v="579.64599999999996"/>
    <s v="P29"/>
    <s v="P19-J-R5"/>
    <s v="PALF"/>
    <x v="1"/>
    <s v="Congo"/>
    <m/>
    <m/>
    <m/>
  </r>
  <r>
    <x v="146"/>
    <s v="Crédit teléphonique MTN PALF/Deuxième partie du mois de Juin 2025"/>
    <s v="Telephone"/>
    <s v="Investigations"/>
    <n v="15000"/>
    <n v="26.740709671337424"/>
    <n v="579.64599999999996"/>
    <s v="T73"/>
    <s v="T73-J-R6"/>
    <s v="PALF"/>
    <x v="1"/>
    <s v="Congo"/>
    <m/>
    <m/>
    <m/>
  </r>
  <r>
    <x v="146"/>
    <s v="Credit teléphonique MTN PALF / Deuxième partie du mois de Juin 2025/ IT87"/>
    <s v="Telephone"/>
    <s v="Investigations"/>
    <n v="15000"/>
    <n v="26.740709671337424"/>
    <n v="579.64599999999996"/>
    <s v="IT87"/>
    <s v="IT87-J-R1"/>
    <s v="PALF"/>
    <x v="1"/>
    <s v="Congo"/>
    <m/>
    <m/>
    <m/>
  </r>
  <r>
    <x v="146"/>
    <s v="Credit télephonique MTN PALF/Deuxième partie du mois de Juin 2025/G12"/>
    <s v="Telephone"/>
    <s v="Investigations"/>
    <n v="5000"/>
    <n v="8.9135698904458067"/>
    <n v="579.64599999999996"/>
    <s v="G12"/>
    <s v="G12-J-R1"/>
    <s v="PALF"/>
    <x v="1"/>
    <s v="Congo"/>
    <m/>
    <m/>
    <m/>
  </r>
  <r>
    <x v="146"/>
    <s v="Credit télephonique AIRTEL PALF/Deuxième partie du mois de Juin 2025/G12"/>
    <s v="Telephone"/>
    <s v="Investigations"/>
    <n v="10000"/>
    <n v="17.827139780891613"/>
    <n v="579.64599999999996"/>
    <s v="G12"/>
    <s v="G12-J-R2"/>
    <s v="PALF"/>
    <x v="1"/>
    <s v="Congo"/>
    <m/>
    <m/>
    <m/>
  </r>
  <r>
    <x v="146"/>
    <s v="Credit teléphonique MTN PALF/ Deuxième partie du mois de Juin 2025/ Abraham"/>
    <s v="Telephone"/>
    <s v="Legal"/>
    <n v="5000"/>
    <n v="8.9135698904458067"/>
    <n v="579.64599999999996"/>
    <s v="Abraham"/>
    <s v="AB-J-R6"/>
    <s v="PALF"/>
    <x v="1"/>
    <s v="Congo"/>
    <m/>
    <m/>
    <m/>
  </r>
  <r>
    <x v="146"/>
    <s v="Credit teléphonique AIRTEL PALF/ Deuxième partie du mois de Juin 2025/ Abraham"/>
    <s v="Telephone"/>
    <s v="Legal"/>
    <n v="5000"/>
    <n v="8.9135698904458067"/>
    <n v="579.64599999999996"/>
    <s v="Abraham"/>
    <s v="AB-J-R7"/>
    <s v="PALF"/>
    <x v="1"/>
    <s v="Congo"/>
    <m/>
    <m/>
    <m/>
  </r>
  <r>
    <x v="146"/>
    <s v="Credit teléphonique MTN PALF/Deuxième partie du mois de Juin 2025/Roderlin"/>
    <s v="Telephone"/>
    <s v="Legal"/>
    <n v="10000"/>
    <n v="17.827139780891613"/>
    <n v="579.64599999999996"/>
    <s v="Roderlin"/>
    <s v="RO-J-R8"/>
    <s v="PALF"/>
    <x v="1"/>
    <s v="Congo"/>
    <m/>
    <m/>
    <m/>
  </r>
  <r>
    <x v="146"/>
    <s v="Bonus du mois de Mai 2025/Roderlin"/>
    <s v="Personnel"/>
    <s v="Legal"/>
    <n v="30000"/>
    <n v="53.481419342674847"/>
    <n v="560.94248000000005"/>
    <s v="Roderlin"/>
    <s v="CA-J-D13"/>
    <s v="PALF"/>
    <x v="5"/>
    <s v="Congo"/>
    <m/>
    <m/>
    <m/>
  </r>
  <r>
    <x v="146"/>
    <s v="Credit teléphonique MTN PALF/Dexième partie du mois de Juin 2025/Donald-Roméo"/>
    <s v="Telephone"/>
    <s v="Legal"/>
    <n v="10000"/>
    <n v="17.827139780891613"/>
    <n v="579.64599999999996"/>
    <s v="Donald-Romeo"/>
    <s v="DR-J-R6"/>
    <s v="PALF"/>
    <x v="1"/>
    <s v="Congo"/>
    <m/>
    <m/>
    <m/>
  </r>
  <r>
    <x v="146"/>
    <s v="Bonus du mois de Mai 2025/Donald-Roméo"/>
    <s v="Personnel"/>
    <s v="Legal"/>
    <n v="30000"/>
    <n v="53.481419342674847"/>
    <n v="560.94248000000005"/>
    <s v="Donald-Romeo"/>
    <s v="CA-J-D11"/>
    <s v="PALF"/>
    <x v="5"/>
    <s v="Congo"/>
    <m/>
    <m/>
    <m/>
  </r>
  <r>
    <x v="146"/>
    <s v="Bonus operation du 27/05/2025 à Impfondo/Donald-Roméo"/>
    <s v="Bonus"/>
    <s v="Operations"/>
    <n v="40000"/>
    <n v="71.308559123566454"/>
    <n v="579.64599999999996"/>
    <s v="Donald-Romeo"/>
    <s v="CA-J-D12"/>
    <s v="PALF"/>
    <x v="1"/>
    <s v="Congo"/>
    <m/>
    <m/>
    <m/>
  </r>
  <r>
    <x v="146"/>
    <s v="Credit teléphonique MTN PALF/ Deuxième partie du mois de Juin 2025"/>
    <s v="Telephone"/>
    <s v="Media"/>
    <n v="10000"/>
    <n v="17.827139780891613"/>
    <n v="579.64599999999996"/>
    <s v="Evariste"/>
    <s v="EV-J-R5"/>
    <s v="PALF"/>
    <x v="1"/>
    <s v="Congo"/>
    <m/>
    <m/>
    <m/>
  </r>
  <r>
    <x v="146"/>
    <s v="Acompte honoraire contrat N°84 Impfondo cas MBEKELE, MOUANDOLA et EBOUZI/Maitre Marie Alain BAZOUNZI/ 3654883"/>
    <s v="Lawyer Fees"/>
    <s v="Legal"/>
    <n v="200000"/>
    <n v="356.54279561783233"/>
    <n v="579.64599999999996"/>
    <s v="BCI"/>
    <s v="BQ-J-R8"/>
    <s v="PALF"/>
    <x v="1"/>
    <s v="Congo"/>
    <m/>
    <m/>
    <m/>
  </r>
  <r>
    <x v="146"/>
    <s v="Solde  honoraire contrat n°78 Sibiti cas BOUTSANA et KAMBOU/ Maître BANZOUZI Alain/3654882"/>
    <s v="Lawyer Fees"/>
    <s v="Legal"/>
    <n v="300000"/>
    <n v="534.81419342674849"/>
    <n v="579.64599999999996"/>
    <s v="BCI"/>
    <s v="BQ-J-R9"/>
    <s v="PALF"/>
    <x v="1"/>
    <s v="Congo"/>
    <m/>
    <m/>
    <m/>
  </r>
  <r>
    <x v="147"/>
    <s v="Achat billet Brazzaville-Dolisie/Abraham"/>
    <s v="Transport"/>
    <s v="Legal"/>
    <n v="8000"/>
    <n v="14.261711824713291"/>
    <n v="579.64599999999996"/>
    <s v="Abraham"/>
    <s v="AB-J-R8"/>
    <s v="PALF"/>
    <x v="1"/>
    <s v="Congo"/>
    <m/>
    <m/>
    <m/>
  </r>
  <r>
    <x v="147"/>
    <s v="Frais de transport mission Maitre Alain à Dolisie du 18 au 20/06/2025"/>
    <s v="Transport"/>
    <s v="Legal"/>
    <n v="29000"/>
    <n v="51.698705364585685"/>
    <n v="579.64599999999996"/>
    <s v="Abraham"/>
    <s v="CA-J-R17"/>
    <s v="PALF"/>
    <x v="1"/>
    <s v="Congo"/>
    <m/>
    <m/>
    <m/>
  </r>
  <r>
    <x v="147"/>
    <s v="Ration et frais d'hotel mission maitre Alain à Dolisie du 18 au 20/06/2025"/>
    <s v="Travel Subsistence"/>
    <s v="Legal"/>
    <n v="50000"/>
    <n v="89.135698904458081"/>
    <n v="579.64599999999996"/>
    <s v="Abraham"/>
    <s v="CA-J-R18"/>
    <s v="PALF"/>
    <x v="1"/>
    <s v="Congo"/>
    <m/>
    <m/>
    <m/>
  </r>
  <r>
    <x v="148"/>
    <s v="Cumul frais de transport local du mois de Juin 2025/Crepin"/>
    <s v="Transport"/>
    <s v="Legal"/>
    <n v="15500"/>
    <n v="27.632066660382005"/>
    <n v="579.64599999999996"/>
    <s v="Crepin"/>
    <s v="CR-J-D2"/>
    <s v="PALF"/>
    <x v="1"/>
    <s v="Congo"/>
    <m/>
    <m/>
    <m/>
  </r>
  <r>
    <x v="148"/>
    <s v="ABRAHAM - CONGO Ration du 18 au 20/06/2025 à Dolisie (02 Nuitées)"/>
    <s v="Travel Subsistence"/>
    <s v="Legal"/>
    <n v="20000"/>
    <n v="35.654279561783227"/>
    <n v="579.64599999999996"/>
    <s v="Abraham"/>
    <s v="AB-J-D2"/>
    <s v="PALF"/>
    <x v="1"/>
    <s v="Congo"/>
    <m/>
    <m/>
    <m/>
  </r>
  <r>
    <x v="149"/>
    <s v="Cumul frais de Jail visits du mois de Juin 2025/Abraham"/>
    <s v="Jail visit"/>
    <s v="Legal"/>
    <n v="34500"/>
    <n v="61.503632244076073"/>
    <n v="579.64599999999996"/>
    <s v="Abraham"/>
    <s v="AB-J-D3"/>
    <s v="PALF"/>
    <x v="1"/>
    <s v="Congo"/>
    <m/>
    <m/>
    <m/>
  </r>
  <r>
    <x v="149"/>
    <s v="Bonus media portant sur l'annonce de laudience du 19 Juin 2025 à Brazzaville et à Dolisie( Pièces presse internet, Pièces presse papier et radio)"/>
    <s v="Bonus to media officer"/>
    <s v="Media"/>
    <n v="132000"/>
    <n v="235.31824510776931"/>
    <n v="579.64599999999996"/>
    <s v="Evariste"/>
    <s v="CA-J-D14"/>
    <s v="PALF"/>
    <x v="1"/>
    <s v="Congo"/>
    <m/>
    <m/>
    <m/>
  </r>
  <r>
    <x v="150"/>
    <s v="ABRAHAM - CONGO Frais d'Hôtel (Hôtel La Gloire) du 18 au 20/06/2025 à Dolisie (02 Nuitées)"/>
    <s v="Travel Subsistence"/>
    <s v="Legal"/>
    <n v="30000"/>
    <n v="53.481419342674847"/>
    <n v="579.64599999999996"/>
    <s v="Abraham"/>
    <s v="AB-J-R9"/>
    <s v="PALF"/>
    <x v="1"/>
    <s v="Congo"/>
    <m/>
    <m/>
    <m/>
  </r>
  <r>
    <x v="150"/>
    <s v="Achat eau mineral 10 Litres/Bureau"/>
    <s v="Office Materials"/>
    <s v="Office"/>
    <n v="25000"/>
    <n v="44.567849452229041"/>
    <n v="579.64599999999996"/>
    <s v="Parfaite"/>
    <s v="CA-J-R19"/>
    <s v="PALF"/>
    <x v="1"/>
    <s v="Congo"/>
    <m/>
    <m/>
    <m/>
  </r>
  <r>
    <x v="150"/>
    <s v="Cumul frais de transport local du mois de Juin  2025/P29"/>
    <s v="Transport"/>
    <s v="Investigations"/>
    <n v="32100"/>
    <n v="57.225118696662086"/>
    <n v="579.64599999999996"/>
    <s v="P29"/>
    <s v="P29-J-D1"/>
    <s v="PALF"/>
    <x v="1"/>
    <s v="Congo"/>
    <m/>
    <m/>
    <m/>
  </r>
  <r>
    <x v="150"/>
    <s v="Cumul frais de trust builfing du mois de Juin  2025/P29"/>
    <s v="Trust Building"/>
    <s v="Investigations"/>
    <n v="8500"/>
    <n v="15.153068813757873"/>
    <n v="579.64599999999996"/>
    <s v="P29"/>
    <s v="P29-J-D2"/>
    <s v="PALF"/>
    <x v="1"/>
    <s v="Congo"/>
    <m/>
    <m/>
    <m/>
  </r>
  <r>
    <x v="150"/>
    <s v="Cumul frais de transport local du mois de Juin 2025/IT87"/>
    <s v="Transport"/>
    <s v="Investigations"/>
    <n v="50500"/>
    <n v="90.027055893502663"/>
    <n v="579.64599999999996"/>
    <s v="IT87"/>
    <s v="IT87-J-D2"/>
    <s v="PALF"/>
    <x v="1"/>
    <s v="Congo"/>
    <m/>
    <m/>
    <m/>
  </r>
  <r>
    <x v="150"/>
    <s v="Cumul frais de transport local du mois Juin 2025/G12"/>
    <s v="Transport"/>
    <s v="Investigations"/>
    <n v="29000"/>
    <n v="51.698705364585685"/>
    <n v="579.64599999999996"/>
    <s v="G12"/>
    <s v="G12-J-D1"/>
    <s v="PALF"/>
    <x v="1"/>
    <s v="Congo"/>
    <m/>
    <m/>
    <m/>
  </r>
  <r>
    <x v="150"/>
    <s v="Frais de transport mission Maitre Alain à Impfondo du 22 au 29/06/2025"/>
    <s v="Transport"/>
    <s v="Legal"/>
    <n v="82000"/>
    <n v="146.18254620331123"/>
    <n v="579.64599999999996"/>
    <s v="Donald-Romeo"/>
    <s v="CA-J-R20"/>
    <s v="PALF"/>
    <x v="1"/>
    <s v="Congo"/>
    <m/>
    <m/>
    <m/>
  </r>
  <r>
    <x v="150"/>
    <s v="Ration et frais d'hotel mission maitre Alain à Impfondo du 22 au 29/06/2025"/>
    <s v="Travel Subsistence"/>
    <s v="Legal"/>
    <n v="175000"/>
    <n v="311.97494616560328"/>
    <n v="579.64599999999996"/>
    <s v="Donald-Romeo"/>
    <s v="CA-J-R21"/>
    <s v="PALF"/>
    <x v="1"/>
    <s v="Congo"/>
    <m/>
    <m/>
    <m/>
  </r>
  <r>
    <x v="150"/>
    <s v="Cumul frais de transport local du mois de Juin 2025/ Evariste"/>
    <s v="Transport"/>
    <s v="Media"/>
    <n v="22500"/>
    <n v="40.111064507006134"/>
    <n v="579.64599999999996"/>
    <s v="Evariste"/>
    <s v="EV-J-D2"/>
    <s v="PALF"/>
    <x v="1"/>
    <s v="Congo"/>
    <m/>
    <m/>
    <m/>
  </r>
  <r>
    <x v="151"/>
    <s v="Achat billet Brazzaville-Imfondo/Donald-Roméo"/>
    <s v="Transport "/>
    <s v="Legal"/>
    <n v="33000"/>
    <n v="58.829561276942329"/>
    <n v="579.64599999999996"/>
    <s v="Donald-Romeo"/>
    <s v="DR-J-R7"/>
    <s v="PALF"/>
    <x v="1"/>
    <s v="Congo"/>
    <m/>
    <m/>
    <m/>
  </r>
  <r>
    <x v="151"/>
    <s v="Donald Roméo-CONGO Ration  du  22 au 29/06/2025 à Impfondo"/>
    <s v="Travel Subsistence"/>
    <s v="Legal"/>
    <n v="70000"/>
    <n v="124.78997846624131"/>
    <n v="579.64599999999996"/>
    <s v="Donald-Romeo"/>
    <s v="DR-J-D2"/>
    <s v="PALF"/>
    <x v="1"/>
    <s v="Congo"/>
    <m/>
    <m/>
    <m/>
  </r>
  <r>
    <x v="152"/>
    <s v="Maintenance groupe electrogène bureau PALF"/>
    <s v="Services"/>
    <s v="Office"/>
    <n v="10000"/>
    <n v="17.827139780891613"/>
    <n v="579.64599999999996"/>
    <s v="Parfaite"/>
    <s v="CA-J-R22"/>
    <s v="PALF"/>
    <x v="1"/>
    <s v="Congo"/>
    <m/>
    <m/>
    <m/>
  </r>
  <r>
    <x v="152"/>
    <s v="cumul frais de trust building du mois de Juin 2025/T73"/>
    <s v="Trust Building"/>
    <s v="Investigations"/>
    <n v="12500"/>
    <n v="22.28392472611452"/>
    <n v="579.64599999999996"/>
    <s v="T73"/>
    <s v="T73-J-D1"/>
    <s v="PALF"/>
    <x v="1"/>
    <s v="Congo"/>
    <m/>
    <m/>
    <m/>
  </r>
  <r>
    <x v="152"/>
    <s v="Donald Roméo-CONGO Frais d'hôtel du 22 au 23/06/2025 à Ouesso (  01 Nuitée)"/>
    <s v="Travel Subsistence"/>
    <s v="Legal"/>
    <n v="15000"/>
    <n v="26.740709671337424"/>
    <n v="579.64599999999996"/>
    <s v="Donald-Romeo"/>
    <s v="DR-J-R8"/>
    <s v="PALF"/>
    <x v="1"/>
    <s v="Congo"/>
    <m/>
    <m/>
    <m/>
  </r>
  <r>
    <x v="153"/>
    <s v="Cumul frais de transport local du mois de Juin 2025/T73"/>
    <s v="Transport"/>
    <s v="Investigations"/>
    <n v="61800"/>
    <n v="110.17172384591018"/>
    <n v="579.64599999999996"/>
    <s v="T73"/>
    <s v="T73-J-D2"/>
    <s v="PALF"/>
    <x v="1"/>
    <s v="Congo"/>
    <m/>
    <m/>
    <m/>
  </r>
  <r>
    <x v="153"/>
    <s v="Frais de tansfert d'argent à Donald roméo"/>
    <s v="Transfer Fees"/>
    <s v="Office"/>
    <n v="2000"/>
    <n v="3.5654279561783229"/>
    <n v="579.64599999999996"/>
    <s v="Abraham"/>
    <s v="CA-J-R25"/>
    <s v="PALF"/>
    <x v="1"/>
    <s v="Congo"/>
    <m/>
    <m/>
    <m/>
  </r>
  <r>
    <x v="153"/>
    <s v="Achat billet Brazzaville-Owando"/>
    <s v="Transport"/>
    <s v="Legal"/>
    <n v="7000"/>
    <n v="12.47899784662413"/>
    <n v="579.64599999999996"/>
    <s v="Roderlin"/>
    <s v="RO-J-R9"/>
    <s v="PALF"/>
    <x v="1"/>
    <s v="Congo"/>
    <m/>
    <m/>
    <m/>
  </r>
  <r>
    <x v="153"/>
    <s v="Frais de transport mission Maitre Hélene  du 25 au 27/06/2025 à Owando"/>
    <s v="Transport"/>
    <s v="Legal"/>
    <n v="20000"/>
    <n v="35.654279561783227"/>
    <n v="579.64599999999996"/>
    <s v="Roderlin"/>
    <s v="CA-J-R23"/>
    <s v="PALF"/>
    <x v="1"/>
    <s v="Congo"/>
    <m/>
    <m/>
    <m/>
  </r>
  <r>
    <x v="153"/>
    <s v="Ration et frais d'hotel mission maitre Hélène  du 25 au 27/06/2025 à Owando"/>
    <s v="Travel Subsistence"/>
    <s v="Legal"/>
    <n v="50000"/>
    <n v="89.135698904458081"/>
    <n v="579.64599999999996"/>
    <s v="Roderlin"/>
    <s v="CA-J-R24"/>
    <s v="PALF"/>
    <x v="1"/>
    <s v="Congo"/>
    <m/>
    <m/>
    <m/>
  </r>
  <r>
    <x v="153"/>
    <s v="Donald Roméo-CONGO Frais d'hôtedu 23 au 24/06/2025 à Enyele (  01 Nuitée)"/>
    <s v="Travel Subsistence"/>
    <s v="Legal"/>
    <n v="15000"/>
    <n v="26.740709671337424"/>
    <n v="579.64599999999996"/>
    <s v="Donald-Romeo"/>
    <s v="DR-J-R9"/>
    <s v="PALF"/>
    <x v="1"/>
    <s v="Congo"/>
    <m/>
    <m/>
    <m/>
  </r>
  <r>
    <x v="153"/>
    <s v="Acompte honoraire contrat N°60_Brazzaville cas NZETSI BIMOKO et Consorts/Maitre Marie Hélène NANITELAMIO MALONGA/ 3654884"/>
    <s v="Lawyer Fees"/>
    <s v="Legal"/>
    <n v="300000"/>
    <n v="534.81419342674849"/>
    <n v="579.64599999999996"/>
    <s v="BCI"/>
    <s v="BQ-J-R10"/>
    <s v="PALF"/>
    <x v="1"/>
    <s v="Congo"/>
    <m/>
    <m/>
    <m/>
  </r>
  <r>
    <x v="154"/>
    <s v="RODERLIN-CONGO Ration du 24 au 26/06/2025 à Owando (02 nuitées)"/>
    <s v="Travel Subsistence"/>
    <s v="Legal"/>
    <n v="20000"/>
    <n v="35.654279561783227"/>
    <n v="579.64599999999996"/>
    <s v="Roderlin"/>
    <s v="RO-J-D3"/>
    <s v="PALF"/>
    <x v="1"/>
    <s v="Congo"/>
    <m/>
    <m/>
    <m/>
  </r>
  <r>
    <x v="155"/>
    <s v="cumul frais de Jail visits du mois de Juin 2025/Roderlin"/>
    <s v="Jail visit"/>
    <s v="Legal"/>
    <n v="21000"/>
    <n v="37.43699353987239"/>
    <n v="579.64599999999996"/>
    <s v="Roderlin"/>
    <s v="RO-J-D4"/>
    <s v="PALF"/>
    <x v="1"/>
    <s v="Congo"/>
    <m/>
    <m/>
    <m/>
  </r>
  <r>
    <x v="155"/>
    <s v="Cumul frais de Jail visits du mois de Juin 2025/Donald-Romeo"/>
    <s v="Jail visit"/>
    <s v="Legal"/>
    <n v="40500"/>
    <n v="72.199916112611035"/>
    <n v="579.64599999999996"/>
    <s v="Donald-Romeo"/>
    <s v="DR-J-D3"/>
    <s v="PALF"/>
    <x v="1"/>
    <s v="Congo"/>
    <m/>
    <m/>
    <m/>
  </r>
  <r>
    <x v="156"/>
    <s v="Achat billet Owando- Brazzaville "/>
    <s v="Transport"/>
    <s v="Legal"/>
    <n v="7000"/>
    <n v="12.47899784662413"/>
    <n v="579.64599999999996"/>
    <s v="Roderlin"/>
    <s v="RO-J-R10"/>
    <s v="PALF"/>
    <x v="1"/>
    <s v="Congo"/>
    <m/>
    <m/>
    <m/>
  </r>
  <r>
    <x v="156"/>
    <s v="Achat billet Imfondo-Brazzaville"/>
    <s v="Transport "/>
    <s v="Legal"/>
    <n v="33000"/>
    <n v="58.829561276942329"/>
    <n v="579.64599999999996"/>
    <s v="Donald-Romeo"/>
    <s v="DR-J-R10"/>
    <s v="PALF"/>
    <x v="1"/>
    <s v="Congo"/>
    <m/>
    <m/>
    <m/>
  </r>
  <r>
    <x v="156"/>
    <s v="Frais de ramassage Ordure Juin 2025"/>
    <s v="Rent &amp; Utilities"/>
    <s v="Office"/>
    <n v="8000"/>
    <n v="14.261711824713291"/>
    <n v="579.64599999999996"/>
    <s v="Parfaite"/>
    <s v="CA-J-R26"/>
    <s v="PALF"/>
    <x v="1"/>
    <s v="Congo"/>
    <m/>
    <m/>
    <m/>
  </r>
  <r>
    <x v="156"/>
    <s v="Reglement prestation de nettoyage  PALF du mois de Juin 2025"/>
    <s v="Services"/>
    <s v="Office"/>
    <n v="75625"/>
    <n v="134.81774459299285"/>
    <n v="579.64599999999996"/>
    <s v="Parfaite"/>
    <s v="CA-J-R27"/>
    <s v="PALF"/>
    <x v="1"/>
    <s v="Congo"/>
    <m/>
    <m/>
    <m/>
  </r>
  <r>
    <x v="156"/>
    <s v="RODERLIN-CONGO Frais d'hôtel du 25 au 27/06/2025 à Owando (02 nuitées)"/>
    <s v="Travel Subsistence"/>
    <s v="Legal"/>
    <n v="30000"/>
    <n v="53.481419342674847"/>
    <n v="579.64599999999996"/>
    <s v="Roderlin"/>
    <s v="RO-J-R11"/>
    <s v="PALF"/>
    <x v="1"/>
    <s v="Congo"/>
    <m/>
    <m/>
    <m/>
  </r>
  <r>
    <x v="156"/>
    <s v="Donald Roméo-CONGO Frais d'hôtel du 24 au 27/06/2025 à Impfondo ( 03 Nuitées )"/>
    <s v="Travel Subsistence"/>
    <s v="Legal"/>
    <n v="45000"/>
    <n v="80.222129014012268"/>
    <n v="579.64599999999996"/>
    <s v="Donald-Romeo"/>
    <s v="DR-J-R11"/>
    <s v="PALF"/>
    <x v="1"/>
    <s v="Congo"/>
    <m/>
    <m/>
    <m/>
  </r>
  <r>
    <x v="157"/>
    <s v="Donald Roméo- CONGO Frais d'hôtel du 27 au 28/06/2025 à Enyele (01 Nuitée)"/>
    <s v="Travel Subsistence"/>
    <s v="Legal"/>
    <n v="15000"/>
    <n v="26.740709671337424"/>
    <n v="579.64599999999996"/>
    <s v="Donald-Romeo"/>
    <s v="DR-J-R12"/>
    <s v="PALF"/>
    <x v="1"/>
    <s v="Congo"/>
    <m/>
    <m/>
    <m/>
  </r>
  <r>
    <x v="158"/>
    <s v="Donald Roméo-CONGO Frais d'hôtel du 28 au 29/06/2025 à Oyo ( 01 Nuitée)"/>
    <s v="Travel Subsistence"/>
    <s v="Legal"/>
    <n v="15000"/>
    <n v="26.740709671337424"/>
    <n v="579.64599999999996"/>
    <s v="Donald-Romeo"/>
    <s v="DR-J-R13"/>
    <s v="PALF"/>
    <x v="1"/>
    <s v="Congo"/>
    <m/>
    <m/>
    <m/>
  </r>
  <r>
    <x v="158"/>
    <s v="Cumul frais de transport local du mois de Juin 2025/Donald-Romeo"/>
    <s v="Transport "/>
    <s v="Legal"/>
    <n v="39000"/>
    <n v="69.525845145477305"/>
    <n v="579.64599999999996"/>
    <s v="Donald-Romeo"/>
    <s v="DR-J-D4"/>
    <s v="PALF"/>
    <x v="1"/>
    <s v="Congo"/>
    <m/>
    <m/>
    <m/>
  </r>
  <r>
    <x v="159"/>
    <s v="Cumul frais de transport local du mois de Juin 2025/DOVI"/>
    <s v="Transport"/>
    <s v="Management"/>
    <n v="49000"/>
    <n v="87.352984926368919"/>
    <n v="579.64599999999996"/>
    <s v="DOVI"/>
    <s v="DH-J-D1"/>
    <s v="PALF"/>
    <x v="1"/>
    <s v="Congo"/>
    <m/>
    <m/>
    <m/>
  </r>
  <r>
    <x v="159"/>
    <s v="Maintenance groupe electrogène bureau PALF"/>
    <s v="Services"/>
    <s v="Office"/>
    <n v="50000"/>
    <n v="89.135698904458081"/>
    <n v="579.64599999999996"/>
    <s v="Parfaite"/>
    <s v="CA-J-R28"/>
    <s v="PALF"/>
    <x v="1"/>
    <s v="Congo"/>
    <m/>
    <m/>
    <m/>
  </r>
  <r>
    <x v="159"/>
    <s v="Reglement facture internet periode du 01/07 au 31/07/2025 bureau PALF"/>
    <s v="Internet"/>
    <s v="Office"/>
    <n v="45050"/>
    <n v="80.311264712916724"/>
    <n v="579.64599999999996"/>
    <s v="Parfaite"/>
    <s v="CA-J-R29"/>
    <s v="PALF"/>
    <x v="1"/>
    <s v="Congo"/>
    <m/>
    <m/>
    <m/>
  </r>
  <r>
    <x v="159"/>
    <s v="Cumul frais de transport local du mois de Juin 2025/Parfaite"/>
    <s v="Transport"/>
    <s v="Office"/>
    <n v="26000"/>
    <n v="46.350563430318196"/>
    <n v="579.64599999999996"/>
    <s v="Parfaite"/>
    <s v="P-J-D1"/>
    <s v="PALF"/>
    <x v="1"/>
    <s v="Congo"/>
    <m/>
    <m/>
    <m/>
  </r>
  <r>
    <x v="159"/>
    <s v="Cumul frais de transport local du mois de Juin 2025/ Abraham"/>
    <s v="Transport"/>
    <s v="Legal"/>
    <n v="45700"/>
    <n v="81.470028798674676"/>
    <n v="579.64599999999996"/>
    <s v="Abraham"/>
    <s v="AB-J-D4"/>
    <s v="PALF"/>
    <x v="1"/>
    <s v="Congo"/>
    <m/>
    <m/>
    <m/>
  </r>
  <r>
    <x v="159"/>
    <s v="Cumul frais de transport local du mois de Juin 2025/Roderlin"/>
    <s v="Transport"/>
    <s v="Legal"/>
    <n v="53000"/>
    <n v="94.483840838725555"/>
    <n v="579.64599999999996"/>
    <s v="Roderlin"/>
    <s v="RO-J-D5"/>
    <s v="PALF"/>
    <x v="1"/>
    <s v="Congo"/>
    <m/>
    <m/>
    <m/>
  </r>
  <r>
    <x v="160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0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1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1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1"/>
    <s v="Taxi:  Bureau-Banque BCI/ Retrait relevé de compte bancaire du mois de Juin 2025"/>
    <s v="Transport"/>
    <s v="Office"/>
    <n v="1000"/>
    <n v="1.7827139780891614"/>
    <n v="560.94248000000005"/>
    <s v="Parfaite"/>
    <s v="P-JU-D1"/>
    <s v="PALF"/>
    <x v="5"/>
    <s v="Congo"/>
    <m/>
    <m/>
    <m/>
  </r>
  <r>
    <x v="161"/>
    <s v="Taxi:  Banque BCI - Bureau/ Retrait relevé de compte bancaire du mois de Juin 2025"/>
    <s v="Transport"/>
    <s v="Office"/>
    <n v="1000"/>
    <n v="1.7827139780891614"/>
    <n v="560.94248000000005"/>
    <s v="Parfaite"/>
    <s v="P-JU-D1"/>
    <s v="PALF"/>
    <x v="5"/>
    <s v="Congo"/>
    <m/>
    <m/>
    <m/>
  </r>
  <r>
    <x v="161"/>
    <s v=" Frais de prestation de nettoyage jardin PALF Juin 2025"/>
    <s v="Services"/>
    <s v="Office"/>
    <n v="20000"/>
    <n v="35.654279561783227"/>
    <n v="560.94248000000005"/>
    <s v="Parfaite"/>
    <s v="CA-JU-R1"/>
    <s v="PALF"/>
    <x v="5"/>
    <s v="Congo"/>
    <m/>
    <m/>
    <m/>
  </r>
  <r>
    <x v="162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2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2"/>
    <s v="Taxi:  Bureau- Société de gardiennage/remis de chèque du mois de Juin 2025"/>
    <s v="Transport"/>
    <s v="Office"/>
    <n v="1000"/>
    <n v="1.7827139780891614"/>
    <n v="560.94248000000005"/>
    <s v="Parfaite"/>
    <s v="P-JU-D1"/>
    <s v="PALF"/>
    <x v="5"/>
    <s v="Congo"/>
    <m/>
    <m/>
    <m/>
  </r>
  <r>
    <x v="162"/>
    <s v="Taxi:  Societé de gardiennage  - Bureau/remis de chèque du mois de Juin 2025"/>
    <s v="Transport"/>
    <s v="Office"/>
    <n v="1000"/>
    <n v="1.7827139780891614"/>
    <n v="560.94248000000005"/>
    <s v="Parfaite"/>
    <s v="P-JU-D1"/>
    <s v="PALF"/>
    <x v="5"/>
    <s v="Congo"/>
    <m/>
    <m/>
    <m/>
  </r>
  <r>
    <x v="162"/>
    <s v="Taxi:Bureau-Centre ville pour la rencontrer maître Hélene"/>
    <s v="Transport"/>
    <s v="Legal"/>
    <n v="1000"/>
    <n v="1.7827139780891614"/>
    <n v="560.94248000000005"/>
    <s v="Roderlin"/>
    <s v="RO-JU-D1"/>
    <s v="PALF"/>
    <x v="5"/>
    <s v="Congo"/>
    <m/>
    <m/>
    <m/>
  </r>
  <r>
    <x v="162"/>
    <s v="Taxi:Centre ville-Bureau"/>
    <s v="Transport"/>
    <s v="Legal"/>
    <n v="1000"/>
    <n v="1.7827139780891614"/>
    <n v="560.94248000000005"/>
    <s v="Roderlin"/>
    <s v="RO-JU-D1"/>
    <s v="PALF"/>
    <x v="5"/>
    <s v="Congo"/>
    <m/>
    <m/>
    <m/>
  </r>
  <r>
    <x v="162"/>
    <s v="Taxi:Bureau-Cabinet BANZOUZI pour la rémise du chèque "/>
    <s v="Transport"/>
    <s v="Legal"/>
    <n v="1000"/>
    <n v="1.7827139780891614"/>
    <n v="560.94248000000005"/>
    <s v="Roderlin"/>
    <s v="RO-JU-D1"/>
    <s v="PALF"/>
    <x v="5"/>
    <s v="Congo"/>
    <m/>
    <m/>
    <m/>
  </r>
  <r>
    <x v="162"/>
    <s v="Taxi:Cabinet BANZOUZI-Domicile"/>
    <s v="Transport"/>
    <s v="Legal"/>
    <n v="1000"/>
    <n v="1.7827139780891614"/>
    <n v="560.94248000000005"/>
    <s v="Roderlin"/>
    <s v="RO-JU-D1"/>
    <s v="PALF"/>
    <x v="5"/>
    <s v="Congo"/>
    <m/>
    <m/>
    <m/>
  </r>
  <r>
    <x v="162"/>
    <s v="Solde  honoraire contrat n°84 Impfondo cas MBEKELE ET CONSORTS/ Maître BANZOUZI Alain/3654886"/>
    <s v="Lawyer Fees"/>
    <s v="Legal"/>
    <n v="300000"/>
    <n v="534.81419342674849"/>
    <n v="560.94248000000005"/>
    <s v="BCI"/>
    <s v="BQ-JU-R1"/>
    <s v="PALF"/>
    <x v="5"/>
    <s v="Congo"/>
    <m/>
    <m/>
    <m/>
  </r>
  <r>
    <x v="162"/>
    <s v="Solde honoraire contrat N°49_Brazzaville cas BIHONDA Jean-LeBOUCK/Maitre Marie Hélène NANITELAMIO MALONGA/ 3654887"/>
    <s v="Lawyer Fees"/>
    <s v="Legal"/>
    <n v="300000"/>
    <n v="534.81419342674849"/>
    <n v="560.94248000000005"/>
    <s v="BCI"/>
    <s v="BQ-JU-R2"/>
    <s v="PALF"/>
    <x v="5"/>
    <s v="Congo"/>
    <m/>
    <m/>
    <m/>
  </r>
  <r>
    <x v="162"/>
    <s v="Reglement Facture Gardiennage Mois de Juin 2025/3654888"/>
    <s v="Rent &amp; Utilities"/>
    <s v="Office"/>
    <n v="260000"/>
    <n v="463.50563430318198"/>
    <n v="560.94248000000005"/>
    <s v="BCI"/>
    <s v="BQ-JU-R3"/>
    <s v="PALF"/>
    <x v="5"/>
    <s v="Congo"/>
    <m/>
    <m/>
    <m/>
  </r>
  <r>
    <x v="163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3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4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4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5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5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6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6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7"/>
    <s v="Règlement loyer Juin 2025/Coordinateur"/>
    <s v="Personnel"/>
    <s v="Management"/>
    <n v="174625"/>
    <n v="311.30642842381985"/>
    <n v="560.94248000000005"/>
    <s v="DOVI"/>
    <s v="DH-JU-R1"/>
    <s v="PALF"/>
    <x v="5"/>
    <s v="Congo"/>
    <m/>
    <m/>
    <m/>
  </r>
  <r>
    <x v="167"/>
    <s v="Maison- 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7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7"/>
    <s v="Achat eau mineral 10 Petite bouteille 0,6L/Bureau"/>
    <s v="Office Materiels"/>
    <s v="Office"/>
    <n v="2000"/>
    <n v="3.5654279561783229"/>
    <n v="560.94248000000005"/>
    <s v="Roderlin"/>
    <s v="CA-JU-R2"/>
    <s v="PALF"/>
    <x v="5"/>
    <s v="Congo"/>
    <m/>
    <m/>
    <m/>
  </r>
  <r>
    <x v="168"/>
    <s v="Maison-Cabinet d'huissier"/>
    <s v="Transport"/>
    <s v="Management"/>
    <n v="1000"/>
    <n v="1.7827139780891614"/>
    <n v="560.94248000000005"/>
    <s v="DOVI"/>
    <s v="DH-JU-D1"/>
    <s v="PALF"/>
    <x v="5"/>
    <s v="Congo"/>
    <m/>
    <m/>
    <m/>
  </r>
  <r>
    <x v="168"/>
    <s v="Cabinet - 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8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8"/>
    <s v="Taxi: Domicile-Burteau pour signature des pièces comptables/crépin"/>
    <s v="Transport"/>
    <s v="Legal"/>
    <n v="1000"/>
    <n v="1.7827139780891614"/>
    <n v="560.94248000000005"/>
    <s v="Crépin"/>
    <s v="CR-JU-D1"/>
    <s v="PALF"/>
    <x v="5"/>
    <s v="Congo"/>
    <m/>
    <m/>
    <m/>
  </r>
  <r>
    <x v="168"/>
    <s v="Taxi: Bureau-Domicile/crépin"/>
    <s v="Transport"/>
    <s v="Legal"/>
    <n v="1000"/>
    <n v="1.7827139780891614"/>
    <n v="560.94248000000005"/>
    <s v="Crépin"/>
    <s v="CR-JU-D1"/>
    <s v="PALF"/>
    <x v="5"/>
    <s v="Congo"/>
    <m/>
    <m/>
    <m/>
  </r>
  <r>
    <x v="169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9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9"/>
    <s v="Rembourssement frais de certificat d'Hebergement(Valentina et Martina) du 27/06/2025"/>
    <s v="Travel Expenses"/>
    <s v="Investigation"/>
    <n v="-60000"/>
    <n v="-106.96283868534969"/>
    <n v="560.94248000000005"/>
    <s v="Parfaite"/>
    <s v="CA-JU-D1"/>
    <s v="PALF"/>
    <x v="5"/>
    <s v="Congo"/>
    <m/>
    <m/>
    <m/>
  </r>
  <r>
    <x v="170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70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70"/>
    <s v="Taxi: Domicile-Bureau pour la signature des chèques des salaires/crépin"/>
    <s v="Transport"/>
    <s v="Legal"/>
    <n v="1000"/>
    <n v="1.7827139780891614"/>
    <n v="560.94248000000005"/>
    <s v="Crépin"/>
    <s v="CR-JU-D1"/>
    <s v="PALF"/>
    <x v="5"/>
    <s v="Congo"/>
    <m/>
    <m/>
    <m/>
  </r>
  <r>
    <x v="170"/>
    <s v="Taxi: Bureau-Domicile/crépin"/>
    <s v="Transport"/>
    <s v="Legal"/>
    <n v="1000"/>
    <n v="1.7827139780891614"/>
    <n v="560.94248000000005"/>
    <s v="Crépin"/>
    <s v="CR-JU-D1"/>
    <s v="PALF"/>
    <x v="5"/>
    <s v="Congo"/>
    <m/>
    <m/>
    <m/>
  </r>
  <r>
    <x v="170"/>
    <s v="Taxi:  Domicile-Banque BCI/ Vérification des fonds dans le compte "/>
    <s v="Transport"/>
    <s v="Office"/>
    <n v="1000"/>
    <n v="1.7827139780891614"/>
    <n v="560.94248000000005"/>
    <s v="Parfaite"/>
    <s v="P-JU-D1"/>
    <s v="PALF"/>
    <x v="5"/>
    <s v="Congo"/>
    <m/>
    <m/>
    <m/>
  </r>
  <r>
    <x v="170"/>
    <s v="Taxi:  Banque BCI - Bureau/  Vérification des fonds dans le compte "/>
    <s v="Transport"/>
    <s v="Office"/>
    <n v="1000"/>
    <n v="1.7827139780891614"/>
    <n v="560.94248000000005"/>
    <s v="Parfaite"/>
    <s v="P-JU-D1"/>
    <s v="PALF"/>
    <x v="5"/>
    <s v="Congo"/>
    <m/>
    <m/>
    <m/>
  </r>
  <r>
    <x v="170"/>
    <s v="Taxi:  Bureau-Banque BCI/ Dépôt ordre de virement salaire du mois de Juin 2025"/>
    <s v="Transport"/>
    <s v="Office"/>
    <n v="1000"/>
    <n v="1.7827139780891614"/>
    <n v="560.94248000000005"/>
    <s v="Parfaite"/>
    <s v="P-JU-D1"/>
    <s v="PALF"/>
    <x v="5"/>
    <s v="Congo"/>
    <m/>
    <m/>
    <m/>
  </r>
  <r>
    <x v="170"/>
    <s v="Taxi:  Banque BCI - Bureau/ Dépôt ordre de virement salaire du mois de Juin 2025"/>
    <s v="Transport"/>
    <s v="Office"/>
    <n v="1000"/>
    <n v="1.7827139780891614"/>
    <n v="560.94248000000005"/>
    <s v="Parfaite"/>
    <s v="P-JU-D1"/>
    <s v="PALF"/>
    <x v="5"/>
    <s v="Congo"/>
    <m/>
    <m/>
    <m/>
  </r>
  <r>
    <x v="170"/>
    <s v="Reglement loyer du mois de Juin 2025/3654885"/>
    <s v="Rent &amp; Utilities"/>
    <s v="Office"/>
    <n v="500000"/>
    <n v="891.3569890445807"/>
    <n v="560.94248000000005"/>
    <s v="BCI"/>
    <s v="BQ-JU-R4"/>
    <s v="PALF"/>
    <x v="5"/>
    <s v="Congo"/>
    <m/>
    <m/>
    <m/>
  </r>
  <r>
    <x v="170"/>
    <s v="RAPATRIEME01100 RAO00010859/OAT"/>
    <s v="Grant"/>
    <m/>
    <m/>
    <m/>
    <n v="534.23810000000003"/>
    <s v="BCI"/>
    <s v="BQ-JU-G1"/>
    <s v="PALF"/>
    <x v="3"/>
    <s v="Congo"/>
    <n v="5342381"/>
    <n v="10000"/>
    <m/>
  </r>
  <r>
    <x v="170"/>
    <s v="Reglement honoraire du mois de de Juin 2025/P29/36548890"/>
    <s v="Personnel"/>
    <s v="Investigation"/>
    <n v="400000"/>
    <n v="748.72982664471135"/>
    <n v="534.23810000000003"/>
    <s v="BCI"/>
    <s v="BQ-JU-R5"/>
    <s v="PALF"/>
    <x v="3"/>
    <s v="Congo"/>
    <m/>
    <m/>
    <m/>
  </r>
  <r>
    <x v="170"/>
    <s v="Reglement honoraire du mois de Juin 2025/T73/3654892"/>
    <s v="Personnel"/>
    <s v="Investigation"/>
    <n v="255000"/>
    <n v="477.31526448600351"/>
    <n v="534.23810000000003"/>
    <s v="BCI"/>
    <s v="BQ-JU-R6"/>
    <s v="PALF"/>
    <x v="3"/>
    <s v="Congo"/>
    <m/>
    <m/>
    <m/>
  </r>
  <r>
    <x v="170"/>
    <s v="Reglement honoraire du mois de Juin 2025/IT87/3654895"/>
    <s v="Personnel"/>
    <s v="Investigation"/>
    <n v="255000"/>
    <n v="477.31526448600351"/>
    <n v="534.23810000000003"/>
    <s v="BCI"/>
    <s v="BQ-JU-R7"/>
    <s v="PALF"/>
    <x v="3"/>
    <s v="Congo"/>
    <m/>
    <m/>
    <m/>
  </r>
  <r>
    <x v="170"/>
    <s v="Reglement honoraire du mois de Juin 2025/G12/3654894"/>
    <s v="Personnel"/>
    <s v="Investigation"/>
    <n v="255000"/>
    <n v="477.31526448600351"/>
    <n v="534.23810000000003"/>
    <s v="BCI"/>
    <s v="BQ-JU-R8"/>
    <s v="PALF"/>
    <x v="3"/>
    <s v="Congo"/>
    <m/>
    <m/>
    <m/>
  </r>
  <r>
    <x v="170"/>
    <s v="Paiement salaire du mois de Juin 2025/BAVOUMINA NZOUSSI Dina Parfaite/365873"/>
    <s v="Personnel"/>
    <s v="Office"/>
    <n v="230000"/>
    <n v="430.51965032070905"/>
    <n v="534.23810000000003"/>
    <s v="BCI"/>
    <s v="BQ-JU-R9"/>
    <s v="PALF"/>
    <x v="3"/>
    <s v="Congo"/>
    <m/>
    <m/>
    <m/>
  </r>
  <r>
    <x v="170"/>
    <s v="Paiement salaire du mois de Juin 2025/BOUNGOU MAKOSSO Abraham/3654870"/>
    <s v="Personnel"/>
    <s v="Legal"/>
    <n v="200000"/>
    <n v="374.36491332235568"/>
    <n v="534.23810000000003"/>
    <s v="BCI"/>
    <s v="BQ-JU-R10"/>
    <s v="PALF"/>
    <x v="3"/>
    <s v="Congo"/>
    <m/>
    <m/>
    <m/>
  </r>
  <r>
    <x v="170"/>
    <s v="Paiement salaire du mois de Juin 2025/Crepin IBOUILI-IBOUILI"/>
    <s v="Personnel"/>
    <s v="Legal"/>
    <n v="551482"/>
    <n v="1032.2775556441968"/>
    <n v="534.23810000000003"/>
    <s v="BCI"/>
    <s v="BQ-JU-R11"/>
    <s v="PALF"/>
    <x v="3"/>
    <s v="Congo"/>
    <m/>
    <m/>
    <m/>
  </r>
  <r>
    <x v="170"/>
    <s v="Paiement salaire du mois de Juin 2025/PINDI BINGA Donald- Roméo"/>
    <s v="Personnel"/>
    <s v="Legal"/>
    <n v="300000"/>
    <n v="561.54736998353349"/>
    <n v="534.23810000000003"/>
    <s v="BCI"/>
    <s v="BQ-JU-R12"/>
    <s v="PALF"/>
    <x v="3"/>
    <s v="Congo"/>
    <m/>
    <m/>
    <m/>
  </r>
  <r>
    <x v="170"/>
    <s v="Paiement salaire du mois de  Juin 2025/Evariste LELOUSSI"/>
    <s v="Personnel"/>
    <s v="Media"/>
    <n v="238140"/>
    <n v="445.75630229292892"/>
    <n v="534.23810000000003"/>
    <s v="BCI"/>
    <s v="BQ-JU-R13"/>
    <s v="PALF"/>
    <x v="3"/>
    <s v="Congo"/>
    <m/>
    <m/>
    <m/>
  </r>
  <r>
    <x v="170"/>
    <s v="Paiement salaire du  01 au 18 Juin 2025/Homéfa DOVI/3654869"/>
    <s v="Personnel"/>
    <s v="Management"/>
    <n v="786600"/>
    <n v="1472.3772040968249"/>
    <n v="534.23810000000003"/>
    <s v="BCI"/>
    <s v="BQ-JU-R14"/>
    <s v="PALF"/>
    <x v="3"/>
    <s v="Congo"/>
    <m/>
    <m/>
    <m/>
  </r>
  <r>
    <x v="170"/>
    <s v="Paiement salaire du 19 au 30 Juin 2025/Homéfa DOVI/3654869"/>
    <s v="Personnel"/>
    <s v="Management"/>
    <n v="524400"/>
    <n v="981.58480273121666"/>
    <n v="534.23810000000003"/>
    <s v="BCI"/>
    <s v="BQ-JU-R15"/>
    <s v="PALF"/>
    <x v="3"/>
    <s v="Congo"/>
    <m/>
    <m/>
    <m/>
  </r>
  <r>
    <x v="170"/>
    <s v="Frais de virement des salaire du mois Juin 2025"/>
    <s v="Bank fees"/>
    <s v="Office"/>
    <n v="10665"/>
    <n v="19.963009002914617"/>
    <n v="534.23810000000003"/>
    <s v="BCI"/>
    <s v="BQ-JU-R16"/>
    <s v="PALF"/>
    <x v="3"/>
    <s v="Congo"/>
    <m/>
    <m/>
    <m/>
  </r>
  <r>
    <x v="171"/>
    <s v="Maison-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1"/>
    <s v="Bureau-Maison"/>
    <s v="Transport"/>
    <s v="Management"/>
    <n v="1000"/>
    <n v="1.8718245666117783"/>
    <n v="534.23810000000003"/>
    <s v="DOVI"/>
    <s v="DH-JU-D1"/>
    <s v="PALF"/>
    <x v="3"/>
    <s v="Congo"/>
    <m/>
    <m/>
    <m/>
  </r>
  <r>
    <x v="171"/>
    <s v="Paiement salaire du mois de Juin 2025/FOUMBA Roderlin/3654872"/>
    <s v="Personnel"/>
    <s v="Legal"/>
    <n v="200000"/>
    <n v="374.36491332235568"/>
    <n v="534.23810000000003"/>
    <s v="BCI"/>
    <s v="BQ-JU-R17"/>
    <s v="PALF"/>
    <x v="3"/>
    <s v="Congo"/>
    <m/>
    <m/>
    <m/>
  </r>
  <r>
    <x v="172"/>
    <s v="Maison- Cabinet d'huissier"/>
    <s v="Transport"/>
    <s v="Management"/>
    <n v="1000"/>
    <n v="1.8718245666117783"/>
    <n v="534.23810000000003"/>
    <s v="DOVI"/>
    <s v="DH-JU-D1"/>
    <s v="PALF"/>
    <x v="3"/>
    <s v="Congo"/>
    <m/>
    <m/>
    <m/>
  </r>
  <r>
    <x v="172"/>
    <s v="Cabinet - 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2"/>
    <s v="Bureau-Maison"/>
    <s v="Transport"/>
    <s v="Management"/>
    <n v="1000"/>
    <n v="1.8718245666117783"/>
    <n v="534.23810000000003"/>
    <s v="DOVI"/>
    <s v="DH-JU-D1"/>
    <s v="PALF"/>
    <x v="3"/>
    <s v="Congo"/>
    <m/>
    <m/>
    <m/>
  </r>
  <r>
    <x v="172"/>
    <s v="Taxi:  Bureau-Banque BCI"/>
    <s v="Transport"/>
    <s v="Office"/>
    <n v="1000"/>
    <n v="1.8718245666117783"/>
    <n v="534.23810000000003"/>
    <s v="Parfaite"/>
    <s v="P-JU-D1"/>
    <s v="PALF"/>
    <x v="3"/>
    <s v="Congo"/>
    <m/>
    <m/>
    <m/>
  </r>
  <r>
    <x v="172"/>
    <s v="Taxi:  Banque BCI - CNSS/Paiement CNSS deuxième  trimestre de l'année 2025"/>
    <s v="Transport"/>
    <s v="Office"/>
    <n v="1000"/>
    <n v="1.8718245666117783"/>
    <n v="534.23810000000003"/>
    <s v="Parfaite"/>
    <s v="P-JU-D1"/>
    <s v="PALF"/>
    <x v="3"/>
    <s v="Congo"/>
    <m/>
    <m/>
    <m/>
  </r>
  <r>
    <x v="172"/>
    <s v="Taxi: CNSS-Bureau"/>
    <s v="Transport"/>
    <s v="Office"/>
    <n v="1000"/>
    <n v="1.8718245666117783"/>
    <n v="534.23810000000003"/>
    <s v="Parfaite"/>
    <s v="P-JU-D1"/>
    <s v="PALF"/>
    <x v="3"/>
    <s v="Congo"/>
    <m/>
    <m/>
    <m/>
  </r>
  <r>
    <x v="172"/>
    <s v="Paiement CNSS deuxième trimestre/Avril, Mai et Juin 2025/Crepin /3654899"/>
    <s v="Personnel"/>
    <s v="Legal"/>
    <n v="368700"/>
    <n v="690.1417177097627"/>
    <n v="534.23810000000003"/>
    <s v="BCI"/>
    <s v="BQ-JU-R18"/>
    <s v="PALF"/>
    <x v="3"/>
    <s v="Congo"/>
    <m/>
    <m/>
    <m/>
  </r>
  <r>
    <x v="172"/>
    <s v="Paiement CNSS deuxième trimestre/Avril, Mai et Juin 2025/Donald-Roméo/3654899"/>
    <s v="Personnel"/>
    <s v="Legal"/>
    <n v="177789"/>
    <n v="332.78981787334146"/>
    <n v="534.23810000000003"/>
    <s v="BCI"/>
    <s v="BQ-JU-R19"/>
    <s v="PALF"/>
    <x v="3"/>
    <s v="Congo"/>
    <m/>
    <m/>
    <m/>
  </r>
  <r>
    <x v="172"/>
    <s v="Paiement CNSS deuxième trimestre/Avril, Mai et Juin 2025/Romain/3654899"/>
    <s v="Personnel"/>
    <s v="Legal"/>
    <n v="118814"/>
    <n v="222.39896405741183"/>
    <n v="534.23810000000003"/>
    <s v="BCI"/>
    <s v="BQ-JU-R20"/>
    <s v="PALF"/>
    <x v="3"/>
    <s v="Congo"/>
    <m/>
    <m/>
    <m/>
  </r>
  <r>
    <x v="172"/>
    <s v="Paiement CNSS deuxième trimestre/Avril, Mai et Juin 2025/Roderlin/3654899"/>
    <s v="Personnel"/>
    <s v="Legal"/>
    <n v="103494"/>
    <n v="193.72261169691939"/>
    <n v="534.23810000000003"/>
    <s v="BCI"/>
    <s v="BQ-JU-R21"/>
    <s v="PALF"/>
    <x v="3"/>
    <s v="Congo"/>
    <m/>
    <m/>
    <m/>
  </r>
  <r>
    <x v="172"/>
    <s v="Paiement CNSS deuxième trimestre/Avril, Mai et Juin 2025/Abraham/3654899"/>
    <s v="Personnel"/>
    <s v="Legal"/>
    <n v="103494"/>
    <n v="193.72261169691939"/>
    <n v="534.23810000000003"/>
    <s v="BCI"/>
    <s v="BQ-JU-R22"/>
    <s v="PALF"/>
    <x v="3"/>
    <s v="Congo"/>
    <m/>
    <m/>
    <m/>
  </r>
  <r>
    <x v="172"/>
    <s v="Paiement CNSS deuxième trimestre/Avril, Mai et Juin 2025/Parfaite/3654899"/>
    <s v="Personnel"/>
    <s v="Office"/>
    <n v="124433"/>
    <n v="232.91674629720342"/>
    <n v="534.23810000000003"/>
    <s v="BCI"/>
    <s v="BQ-JU-R23"/>
    <s v="PALF"/>
    <x v="3"/>
    <s v="Congo"/>
    <m/>
    <m/>
    <m/>
  </r>
  <r>
    <x v="172"/>
    <s v="Paiement CNSS deuxième trimestre/Avril, Mai et Juin 2025/Evariste/3654899"/>
    <s v="Personnel"/>
    <s v="Media"/>
    <n v="155330"/>
    <n v="276.90896221658943"/>
    <n v="560.94248000000005"/>
    <s v="BCI"/>
    <s v="BQ-JU-R24"/>
    <s v="PALF"/>
    <x v="5"/>
    <s v="Congo"/>
    <m/>
    <m/>
    <m/>
  </r>
  <r>
    <x v="173"/>
    <s v="Maison-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3"/>
    <s v="Bureau-Maison"/>
    <s v="Transport"/>
    <s v="Management"/>
    <n v="1000"/>
    <n v="1.8718245666117783"/>
    <n v="534.23810000000003"/>
    <s v="DOVI"/>
    <s v="DH-JU-D1"/>
    <s v="PALF"/>
    <x v="3"/>
    <s v="Congo"/>
    <m/>
    <m/>
    <m/>
  </r>
  <r>
    <x v="173"/>
    <s v="Taxi:  Bureau- Direction MTN/Achat crédits  departement management"/>
    <s v="Transport"/>
    <s v="Office"/>
    <n v="1000"/>
    <n v="1.8718245666117783"/>
    <n v="534.23810000000003"/>
    <s v="Parfaite"/>
    <s v="P-JU-D1"/>
    <s v="PALF"/>
    <x v="3"/>
    <s v="Congo"/>
    <m/>
    <m/>
    <m/>
  </r>
  <r>
    <x v="173"/>
    <s v="Taxi:   Direction MTN- Domicile/Achat crédits  departement management"/>
    <s v="Transport"/>
    <s v="Office"/>
    <n v="1000"/>
    <n v="1.8718245666117783"/>
    <n v="534.23810000000003"/>
    <s v="Parfaite"/>
    <s v="P-JU-D1"/>
    <s v="PALF"/>
    <x v="3"/>
    <s v="Congo"/>
    <m/>
    <m/>
    <m/>
  </r>
  <r>
    <x v="173"/>
    <s v="Credit teléphonique MTN PALF/ du 16 au 31 Juillet 2025/ Parfaite"/>
    <s v="Telephone"/>
    <s v="Management"/>
    <n v="5000"/>
    <n v="9.3591228330588923"/>
    <n v="534.23810000000003"/>
    <s v="Parfaite"/>
    <s v="P-JU-R1"/>
    <s v="PALF"/>
    <x v="3"/>
    <s v="Congo"/>
    <m/>
    <m/>
    <m/>
  </r>
  <r>
    <x v="173"/>
    <s v="Credit teléphonique MTN PALF/ du 16 au 31 Juillet 2025/ DOVI"/>
    <s v="Telephone"/>
    <s v="Management"/>
    <n v="20000"/>
    <n v="35.654279561783227"/>
    <n v="560.94248000000005"/>
    <s v="DOVI"/>
    <s v="DH-JU-R2"/>
    <s v="PALF"/>
    <x v="5"/>
    <s v="Congo"/>
    <m/>
    <m/>
    <m/>
  </r>
  <r>
    <x v="174"/>
    <s v="Maison-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4"/>
    <s v="Bureau- Interpol"/>
    <s v="Transport"/>
    <s v="Management"/>
    <n v="1000"/>
    <n v="1.8718245666117783"/>
    <n v="534.23810000000003"/>
    <s v="DOVI"/>
    <s v="DH-JU-D1"/>
    <s v="PALF"/>
    <x v="3"/>
    <s v="Congo"/>
    <m/>
    <m/>
    <m/>
  </r>
  <r>
    <x v="174"/>
    <s v="Interpol-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4"/>
    <s v="Bureau-Maison"/>
    <s v="Transport"/>
    <s v="Management"/>
    <n v="1000"/>
    <n v="1.8718245666117783"/>
    <n v="534.23810000000003"/>
    <s v="DOVI"/>
    <s v="DH-JU-D1"/>
    <s v="PALF"/>
    <x v="3"/>
    <s v="Congo"/>
    <m/>
    <m/>
    <m/>
  </r>
  <r>
    <x v="174"/>
    <s v="Taxi: Ecole de police-Bureau/crépin"/>
    <s v="Transport"/>
    <s v="Legal"/>
    <n v="1000"/>
    <n v="1.8718245666117783"/>
    <n v="534.23810000000003"/>
    <s v="Crépin"/>
    <s v="CR-JU-D1"/>
    <s v="PALF"/>
    <x v="3"/>
    <s v="Congo"/>
    <m/>
    <m/>
    <m/>
  </r>
  <r>
    <x v="175"/>
    <s v="Maison- 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5"/>
    <s v="Bureau-Cabinet d'huissier"/>
    <s v="Transport"/>
    <s v="Management"/>
    <n v="1000"/>
    <n v="1.8718245666117783"/>
    <n v="534.23810000000003"/>
    <s v="DOVI"/>
    <s v="DH-JU-D1"/>
    <s v="PALF"/>
    <x v="3"/>
    <s v="Congo"/>
    <m/>
    <m/>
    <m/>
  </r>
  <r>
    <x v="175"/>
    <s v="Cabinet d'huissier - 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5"/>
    <s v="Bureau-Hôtel PEFACO (rendez vous)"/>
    <s v="Transport"/>
    <s v="Management"/>
    <n v="1000"/>
    <n v="1.8718245666117783"/>
    <n v="534.23810000000003"/>
    <s v="DOVI"/>
    <s v="DH-JU-D1"/>
    <s v="PALF"/>
    <x v="3"/>
    <s v="Congo"/>
    <m/>
    <m/>
    <m/>
  </r>
  <r>
    <x v="175"/>
    <s v="Hôtel PEFACO -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5"/>
    <s v="Bureau-Maison"/>
    <s v="Transport"/>
    <s v="Management"/>
    <n v="1000"/>
    <n v="1.8718245666117783"/>
    <n v="534.23810000000003"/>
    <s v="DOVI"/>
    <s v="DH-JU-D1"/>
    <s v="PALF"/>
    <x v="3"/>
    <s v="Congo"/>
    <m/>
    <m/>
    <m/>
  </r>
  <r>
    <x v="176"/>
    <s v="Maison-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6"/>
    <s v="Bureau-Maison"/>
    <s v="Transport"/>
    <s v="Management"/>
    <n v="1000"/>
    <n v="1.8718245666117783"/>
    <n v="534.23810000000003"/>
    <s v="DOVI"/>
    <s v="DH-JU-D1"/>
    <s v="PALF"/>
    <x v="3"/>
    <s v="Congo"/>
    <m/>
    <m/>
    <m/>
  </r>
  <r>
    <x v="176"/>
    <s v="Taxi:Bureau-Station SNPC Total/Achat carburant/Abraham"/>
    <s v="Transport"/>
    <s v="Legal"/>
    <n v="2000"/>
    <n v="3.7436491332235566"/>
    <n v="534.23810000000003"/>
    <s v="Abraham"/>
    <s v="AB-JU-D1"/>
    <s v="PALF"/>
    <x v="3"/>
    <s v="Congo"/>
    <m/>
    <m/>
    <m/>
  </r>
  <r>
    <x v="176"/>
    <s v="Taxi:Station SNPC Total-Station X-oil Plateau Ville/Achat carburant/Abraham"/>
    <s v="Transport"/>
    <s v="Legal"/>
    <n v="1500"/>
    <n v="2.8077368499176676"/>
    <n v="534.23810000000003"/>
    <s v="Abraham"/>
    <s v="AB-JU-D1"/>
    <s v="PALF"/>
    <x v="3"/>
    <s v="Congo"/>
    <m/>
    <m/>
    <m/>
  </r>
  <r>
    <x v="176"/>
    <s v="Taxi:Station X-oil Plateau Ville-Station SNPC Centre Ville/Achat carburant/Abraham"/>
    <s v="Transport"/>
    <s v="Legal"/>
    <n v="1500"/>
    <n v="2.8077368499176676"/>
    <n v="534.23810000000003"/>
    <s v="Abraham"/>
    <s v="AB-JU-D1"/>
    <s v="PALF"/>
    <x v="3"/>
    <s v="Congo"/>
    <m/>
    <m/>
    <m/>
  </r>
  <r>
    <x v="176"/>
    <s v="Taxi:Station SNPC Ville-Station Total Matsoua/Achat carburant/Abraham"/>
    <s v="Transport"/>
    <s v="Legal"/>
    <n v="2000"/>
    <n v="3.7436491332235566"/>
    <n v="534.23810000000003"/>
    <s v="Abraham"/>
    <s v="AB-JU-D1"/>
    <s v="PALF"/>
    <x v="3"/>
    <s v="Congo"/>
    <m/>
    <m/>
    <m/>
  </r>
  <r>
    <x v="176"/>
    <s v="Taxi:Station Total Matsoua-Station X-oil Patte d'oie/Achat carburant/Abraham"/>
    <s v="Transport"/>
    <s v="Legal"/>
    <n v="2000"/>
    <n v="3.7436491332235566"/>
    <n v="534.23810000000003"/>
    <s v="Abraham"/>
    <s v="AB-JU-D1"/>
    <s v="PALF"/>
    <x v="3"/>
    <s v="Congo"/>
    <m/>
    <m/>
    <m/>
  </r>
  <r>
    <x v="176"/>
    <s v="Taxi: Station X-oil Patte d'oie-Bureau/Achat carburant/Abraham"/>
    <s v="Transport"/>
    <s v="Legal"/>
    <n v="1000"/>
    <n v="1.8718245666117783"/>
    <n v="534.23810000000003"/>
    <s v="Abraham"/>
    <s v="AB-JU-D1"/>
    <s v="PALF"/>
    <x v="3"/>
    <s v="Congo"/>
    <m/>
    <m/>
    <m/>
  </r>
  <r>
    <x v="176"/>
    <s v="Achat carburant groupe electrogène Bureau"/>
    <s v="Office Materiels"/>
    <s v="Office"/>
    <n v="31250"/>
    <n v="58.494517706618076"/>
    <n v="534.23810000000003"/>
    <s v="Abraham"/>
    <s v="CA-JU-R3"/>
    <s v="PALF"/>
    <x v="3"/>
    <s v="Congo"/>
    <m/>
    <m/>
    <m/>
  </r>
  <r>
    <x v="176"/>
    <s v="Taxi:Station marché total-Station rond-point moungali"/>
    <s v="Transport"/>
    <s v="Legal"/>
    <n v="2000"/>
    <n v="3.7436491332235566"/>
    <n v="534.23810000000003"/>
    <s v="Roderlin"/>
    <s v="RO-JU-D1"/>
    <s v="PALF"/>
    <x v="3"/>
    <s v="Congo"/>
    <m/>
    <m/>
    <m/>
  </r>
  <r>
    <x v="176"/>
    <s v="Taxi:Station rond point Moungali-Station 31 juillet Marché Moungali"/>
    <s v="Transport"/>
    <s v="Legal"/>
    <n v="2000"/>
    <n v="3.7436491332235566"/>
    <n v="534.23810000000003"/>
    <s v="Roderlin"/>
    <s v="RO-JU-D1"/>
    <s v="PALF"/>
    <x v="3"/>
    <s v="Congo"/>
    <m/>
    <m/>
    <m/>
  </r>
  <r>
    <x v="176"/>
    <s v="Taxi:Station marché moungali-Station 10 maisons"/>
    <s v="Transport"/>
    <s v="Legal"/>
    <n v="3000"/>
    <n v="5.6154736998353352"/>
    <n v="534.23810000000003"/>
    <s v="Roderlin"/>
    <s v="RO-JU-D1"/>
    <s v="PALF"/>
    <x v="3"/>
    <s v="Congo"/>
    <m/>
    <m/>
    <m/>
  </r>
  <r>
    <x v="176"/>
    <s v="Achat carburant groupe electrogène Bureau"/>
    <s v="Office Materiels"/>
    <s v="Office"/>
    <n v="31250"/>
    <n v="58.494517706618076"/>
    <n v="534.23810000000003"/>
    <s v="Roderlin"/>
    <s v="CA-JU-R4"/>
    <s v="PALF"/>
    <x v="3"/>
    <s v="Congo"/>
    <m/>
    <m/>
    <m/>
  </r>
  <r>
    <x v="177"/>
    <s v="Maison-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7"/>
    <s v="Bureau - Maison"/>
    <s v="Transport"/>
    <s v="Management"/>
    <n v="1000"/>
    <n v="1.8718245666117783"/>
    <n v="534.23810000000003"/>
    <s v="DOVI"/>
    <s v="DH-JU-D1"/>
    <s v="PALF"/>
    <x v="3"/>
    <s v="Congo"/>
    <m/>
    <m/>
    <m/>
  </r>
  <r>
    <x v="177"/>
    <s v="Taxi:  Bureau-Banque BCI/ Verification de fonds dans le compte"/>
    <s v="Transport"/>
    <s v="Office"/>
    <n v="1000"/>
    <n v="1.8718245666117783"/>
    <n v="534.23810000000003"/>
    <s v="Parfaite"/>
    <s v="P-JU-D1"/>
    <s v="PALF"/>
    <x v="3"/>
    <s v="Congo"/>
    <m/>
    <m/>
    <m/>
  </r>
  <r>
    <x v="177"/>
    <s v="Taxi:  Banque BCI - CNSS/ vérification des cotisations dans les comptes des agents PALF"/>
    <s v="Transport"/>
    <s v="Office"/>
    <n v="1000"/>
    <n v="1.8718245666117783"/>
    <n v="534.23810000000003"/>
    <s v="Parfaite"/>
    <s v="P-JU-D1"/>
    <s v="PALF"/>
    <x v="3"/>
    <s v="Congo"/>
    <m/>
    <m/>
    <m/>
  </r>
  <r>
    <x v="177"/>
    <s v="Taxi: CNSS- Bureau/Pour les cours Banque et CNSS"/>
    <s v="Transport"/>
    <s v="Office"/>
    <n v="1000"/>
    <n v="1.8718245666117783"/>
    <n v="534.23810000000003"/>
    <s v="Parfaite"/>
    <s v="P-JU-D1"/>
    <s v="PALF"/>
    <x v="3"/>
    <s v="Congo"/>
    <m/>
    <m/>
    <m/>
  </r>
  <r>
    <x v="177"/>
    <s v="Taxi:  Bureau- Direction MTN/Achat crédits  departement legal/ Donald-Roméo"/>
    <s v="Transport"/>
    <s v="Office"/>
    <n v="1000"/>
    <n v="1.8718245666117783"/>
    <n v="534.23810000000003"/>
    <s v="Parfaite"/>
    <s v="P-JU-D1"/>
    <s v="PALF"/>
    <x v="3"/>
    <s v="Congo"/>
    <m/>
    <m/>
    <m/>
  </r>
  <r>
    <x v="177"/>
    <s v="Taxi:   Direction MTN- Domicile/Achat crédits  departement Legal/Donald-Roméo"/>
    <s v="Transport"/>
    <s v="Office"/>
    <n v="1000"/>
    <n v="1.8718245666117783"/>
    <n v="534.23810000000003"/>
    <s v="Parfaite"/>
    <s v="P-JU-D1"/>
    <s v="PALF"/>
    <x v="3"/>
    <s v="Congo"/>
    <m/>
    <m/>
    <m/>
  </r>
  <r>
    <x v="177"/>
    <s v="Credit teléphonique MTN PALF/du 22 au 31 Juillet 2025/Donald-Roméo"/>
    <s v="Telephone"/>
    <s v="Legal"/>
    <n v="5000"/>
    <n v="9.3591228330588923"/>
    <n v="534.23810000000003"/>
    <s v="Donald-Romeo"/>
    <s v="DR-JU-R1"/>
    <s v="PALF"/>
    <x v="3"/>
    <s v="Congo"/>
    <m/>
    <m/>
    <m/>
  </r>
  <r>
    <x v="177"/>
    <s v="Taxi Bureau-Agence trans Bony/ Reservation du billet"/>
    <s v="Transport "/>
    <s v="Legal"/>
    <n v="1000"/>
    <n v="1.8718245666117783"/>
    <n v="534.23810000000003"/>
    <s v="Donald-Romeo"/>
    <s v="DR-JU-D2"/>
    <s v="PALF"/>
    <x v="3"/>
    <s v="Congo"/>
    <m/>
    <m/>
    <m/>
  </r>
  <r>
    <x v="177"/>
    <s v="Achat billet Brazzaville-Owando/ Donald-Roméo"/>
    <s v="Transport "/>
    <s v="Legal"/>
    <n v="7000"/>
    <n v="13.102771966282448"/>
    <n v="534.23810000000003"/>
    <s v="Donald-Romeo"/>
    <s v="DR-JU-R2"/>
    <s v="PALF"/>
    <x v="3"/>
    <s v="Congo"/>
    <m/>
    <m/>
    <m/>
  </r>
  <r>
    <x v="177"/>
    <s v="Taxi agence Trans Bony-Domicile"/>
    <s v="Transport "/>
    <s v="Legal"/>
    <n v="1000"/>
    <n v="1.8718245666117783"/>
    <n v="534.23810000000003"/>
    <s v="Donald-Romeo"/>
    <s v="DR-JU-D2"/>
    <s v="PALF"/>
    <x v="3"/>
    <s v="Congo"/>
    <m/>
    <m/>
    <m/>
  </r>
  <r>
    <x v="177"/>
    <s v="Taxi, Bureau PALF-CNSS"/>
    <s v="Transport"/>
    <s v="Media"/>
    <n v="1000"/>
    <n v="1.8718245666117783"/>
    <n v="534.23810000000003"/>
    <s v="Evariste"/>
    <s v="EV-JU-D1"/>
    <s v="PALF"/>
    <x v="3"/>
    <s v="Congo"/>
    <m/>
    <m/>
    <m/>
  </r>
  <r>
    <x v="177"/>
    <s v="RAPATRIEME01100 RAO00010768/Fondation Elonga"/>
    <s v="Grant"/>
    <m/>
    <m/>
    <m/>
    <n v="537.75419999999997"/>
    <s v="BCI"/>
    <s v="BQ-JU-G2"/>
    <s v="PALF"/>
    <x v="6"/>
    <s v="Congo"/>
    <n v="5377542"/>
    <n v="10000"/>
    <m/>
  </r>
  <r>
    <x v="178"/>
    <s v="Maison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78"/>
    <s v="Bureau-Maison"/>
    <s v="Transport"/>
    <s v="Management"/>
    <n v="1000"/>
    <n v="1.8595856619994786"/>
    <n v="537.75419999999997"/>
    <s v="DOVI"/>
    <s v="DH-JU-D1"/>
    <s v="PALF"/>
    <x v="6"/>
    <s v="Congo"/>
    <m/>
    <m/>
    <m/>
  </r>
  <r>
    <x v="178"/>
    <s v="Taxi Domicile-Agence trans Bony/ Pour Owando"/>
    <s v="Transport "/>
    <s v="Legal"/>
    <n v="1000"/>
    <n v="1.8595856619994786"/>
    <n v="537.75419999999997"/>
    <s v="Donald-Romeo"/>
    <s v="DR-JU-D2"/>
    <s v="PALF"/>
    <x v="6"/>
    <s v="Congo"/>
    <m/>
    <m/>
    <m/>
  </r>
  <r>
    <x v="178"/>
    <s v="Taxi Agence Trans Bony d'Owando-Hôtel case mbali"/>
    <s v="Transport "/>
    <s v="Legal"/>
    <n v="500"/>
    <n v="0.92979283099973931"/>
    <n v="537.75419999999997"/>
    <s v="Donald-Romeo"/>
    <s v="DR-JU-D2"/>
    <s v="PALF"/>
    <x v="6"/>
    <s v="Congo"/>
    <m/>
    <m/>
    <m/>
  </r>
  <r>
    <x v="178"/>
    <s v="Donald-Roméo CONGO Ration  du  23 au 25/07/2025 à Owando"/>
    <s v="Travel Subsistence"/>
    <s v="Legal"/>
    <n v="20000"/>
    <n v="37.191713239989575"/>
    <n v="537.75419999999997"/>
    <s v="Donald-Romeo"/>
    <s v="DR-JU-D1"/>
    <s v="PALF"/>
    <x v="6"/>
    <s v="Congo"/>
    <m/>
    <m/>
    <m/>
  </r>
  <r>
    <x v="179"/>
    <s v="Maison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79"/>
    <s v="Bureau-Maison"/>
    <s v="Transport"/>
    <s v="Management"/>
    <n v="1000"/>
    <n v="1.8595856619994786"/>
    <n v="537.75419999999997"/>
    <s v="DOVI"/>
    <s v="DH-JU-D1"/>
    <s v="PALF"/>
    <x v="6"/>
    <s v="Congo"/>
    <m/>
    <m/>
    <m/>
  </r>
  <r>
    <x v="179"/>
    <s v="Taxi: Domicile Mayanga-Marché Total pour le bureau après l'appel du Coordinateur/crépin"/>
    <s v="Transport"/>
    <s v="Legal"/>
    <n v="1000"/>
    <n v="1.8595856619994786"/>
    <n v="537.75419999999997"/>
    <s v="Crépin"/>
    <s v="CR-JU-D1"/>
    <s v="PALF"/>
    <x v="6"/>
    <s v="Congo"/>
    <m/>
    <m/>
    <m/>
  </r>
  <r>
    <x v="179"/>
    <s v="Taxi: Marché Total-Bureau/crépin"/>
    <s v="Transport"/>
    <s v="Legal"/>
    <n v="1000"/>
    <n v="1.8595856619994786"/>
    <n v="537.75419999999997"/>
    <s v="Crépin"/>
    <s v="CR-JU-D1"/>
    <s v="PALF"/>
    <x v="6"/>
    <s v="Congo"/>
    <m/>
    <m/>
    <m/>
  </r>
  <r>
    <x v="179"/>
    <s v="Taxi: Bureau-Marché Total/crépin"/>
    <s v="Transport"/>
    <s v="Legal"/>
    <n v="1000"/>
    <n v="1.8595856619994786"/>
    <n v="537.75419999999997"/>
    <s v="Crépin"/>
    <s v="CR-JU-D1"/>
    <s v="PALF"/>
    <x v="6"/>
    <s v="Congo"/>
    <m/>
    <m/>
    <m/>
  </r>
  <r>
    <x v="179"/>
    <s v="Marché Total-Domicile Mayanga/crépin"/>
    <s v="Transport"/>
    <s v="Legal"/>
    <n v="1000"/>
    <n v="1.8595856619994786"/>
    <n v="537.75419999999997"/>
    <s v="Crépin"/>
    <s v="CR-JU-D1"/>
    <s v="PALF"/>
    <x v="6"/>
    <s v="Congo"/>
    <m/>
    <m/>
    <m/>
  </r>
  <r>
    <x v="179"/>
    <s v="Taxi:  Banque BCI - Bureau/ Aprro caisse"/>
    <s v="Transport"/>
    <s v="Office"/>
    <n v="1000"/>
    <n v="1.8595856619994786"/>
    <n v="537.75419999999997"/>
    <s v="Parfaite"/>
    <s v="P-JU-D1"/>
    <s v="PALF"/>
    <x v="6"/>
    <s v="Congo"/>
    <m/>
    <m/>
    <m/>
  </r>
  <r>
    <x v="179"/>
    <s v="Taxi:  Bureau- Direction MTN/Transfert d'argent à Donald-Roméo"/>
    <s v="Transport"/>
    <s v="Office"/>
    <n v="1000"/>
    <n v="1.8595856619994786"/>
    <n v="537.75419999999997"/>
    <s v="Parfaite"/>
    <s v="P-JU-D1"/>
    <s v="PALF"/>
    <x v="6"/>
    <s v="Congo"/>
    <m/>
    <m/>
    <m/>
  </r>
  <r>
    <x v="179"/>
    <s v="Taxi:   Direction MTN- Bureau/ Transfert d'argent et Appros caisse"/>
    <s v="Transport"/>
    <s v="Office"/>
    <n v="1000"/>
    <n v="1.8595856619994786"/>
    <n v="537.75419999999997"/>
    <s v="Parfaite"/>
    <s v="P-JU-D1"/>
    <s v="PALF"/>
    <x v="6"/>
    <s v="Congo"/>
    <m/>
    <m/>
    <m/>
  </r>
  <r>
    <x v="179"/>
    <s v="Frais de tansfert d'argent à  Donald-Roméo"/>
    <s v="Transfert fees"/>
    <s v="Office"/>
    <n v="700"/>
    <n v="1.3017099633996352"/>
    <n v="537.75419999999997"/>
    <s v="Parfaite"/>
    <s v="CA-JU-R5"/>
    <s v="PALF"/>
    <x v="6"/>
    <s v="Congo"/>
    <m/>
    <m/>
    <m/>
  </r>
  <r>
    <x v="179"/>
    <s v="Taxi moto Hôtel Case Mbali-TGI"/>
    <s v="Transport "/>
    <s v="Legal"/>
    <n v="500"/>
    <n v="0.92979283099973931"/>
    <n v="537.75419999999997"/>
    <s v="Donald-Romeo"/>
    <s v="DR-JU-D2"/>
    <s v="PALF"/>
    <x v="6"/>
    <s v="Congo"/>
    <m/>
    <m/>
    <m/>
  </r>
  <r>
    <x v="179"/>
    <s v="Taxi moto TGI- Agence Trans Bony/ Reserver les billets retour"/>
    <s v="Transport "/>
    <s v="Legal"/>
    <n v="500"/>
    <n v="0.92979283099973931"/>
    <n v="537.75419999999997"/>
    <s v="Donald-Romeo"/>
    <s v="DR-JU-D2"/>
    <s v="PALF"/>
    <x v="6"/>
    <s v="Congo"/>
    <m/>
    <m/>
    <m/>
  </r>
  <r>
    <x v="179"/>
    <s v="Taxi moto Agence trans Bony- Hôtel Case Mbali"/>
    <s v="Transport "/>
    <s v="Legal"/>
    <n v="500"/>
    <n v="0.92979283099973931"/>
    <n v="537.75419999999997"/>
    <s v="Donald-Romeo"/>
    <s v="DR-JU-D2"/>
    <s v="PALF"/>
    <x v="6"/>
    <s v="Congo"/>
    <m/>
    <m/>
    <m/>
  </r>
  <r>
    <x v="179"/>
    <s v="Achat billet Owando-Brazzaville/Donald-Roméo"/>
    <s v="Transport "/>
    <s v="Legal"/>
    <n v="7000"/>
    <n v="13.017099633996351"/>
    <n v="537.75419999999997"/>
    <s v="Donald-Romeo"/>
    <s v="DR-JU-R3"/>
    <s v="PALF"/>
    <x v="6"/>
    <s v="Congo"/>
    <m/>
    <m/>
    <m/>
  </r>
  <r>
    <x v="180"/>
    <s v="Maison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80"/>
    <s v="Bureau-Maison"/>
    <s v="Transport"/>
    <s v="Management"/>
    <n v="1000"/>
    <n v="1.8595856619994786"/>
    <n v="537.75419999999997"/>
    <s v="DOVI"/>
    <s v="DH-JU-D1"/>
    <s v="PALF"/>
    <x v="6"/>
    <s v="Congo"/>
    <m/>
    <m/>
    <m/>
  </r>
  <r>
    <x v="180"/>
    <s v="Taxi: Domicile-Marché Total pour rencontre avec la comptable/crépin"/>
    <s v="Transport"/>
    <s v="Legal"/>
    <n v="1000"/>
    <n v="1.8595856619994786"/>
    <n v="537.75419999999997"/>
    <s v="Crépin"/>
    <s v="CR-JU-D1"/>
    <s v="PALF"/>
    <x v="6"/>
    <s v="Congo"/>
    <m/>
    <m/>
    <m/>
  </r>
  <r>
    <x v="180"/>
    <s v="Taxi: Marché Total-Domicile/crépin"/>
    <s v="Transport"/>
    <s v="Legal"/>
    <n v="1000"/>
    <n v="1.8595856619994786"/>
    <n v="537.75419999999997"/>
    <s v="Crépin"/>
    <s v="CR-JU-D1"/>
    <s v="PALF"/>
    <x v="6"/>
    <s v="Congo"/>
    <m/>
    <m/>
    <m/>
  </r>
  <r>
    <x v="180"/>
    <s v="Taxi:  Bureau- Cabinet d'avocat/Paiement des frais de notification cas Mervielle"/>
    <s v="Transport"/>
    <s v="Office"/>
    <n v="1000"/>
    <n v="1.8595856619994786"/>
    <n v="537.75419999999997"/>
    <s v="Parfaite"/>
    <s v="P-JU-D1"/>
    <s v="PALF"/>
    <x v="6"/>
    <s v="Congo"/>
    <m/>
    <m/>
    <m/>
  </r>
  <r>
    <x v="180"/>
    <s v="Taxi:  Cabinet d'Avocat - Bureau/Paiement des frais de notification cas Mervielle"/>
    <s v="Transport"/>
    <s v="Office"/>
    <n v="1000"/>
    <n v="1.8595856619994786"/>
    <n v="537.75419999999997"/>
    <s v="Parfaite"/>
    <s v="P-JU-D1"/>
    <s v="PALF"/>
    <x v="6"/>
    <s v="Congo"/>
    <m/>
    <m/>
    <m/>
  </r>
  <r>
    <x v="180"/>
    <s v="Taxi:  Bureau-Banque BCI/ Dépôt ordre de virement salaire du mois de Juillet 2025"/>
    <s v="Transport"/>
    <s v="Office"/>
    <n v="1000"/>
    <n v="1.8595856619994786"/>
    <n v="537.75419999999997"/>
    <s v="Parfaite"/>
    <s v="P-JU-D1"/>
    <s v="PALF"/>
    <x v="6"/>
    <s v="Congo"/>
    <m/>
    <m/>
    <m/>
  </r>
  <r>
    <x v="180"/>
    <s v="Taxi:  Banque BCI - Direction Energie Electrique du congo / Paiement facture d'Electricité du mois de Mai et Juin 2025"/>
    <s v="Transport"/>
    <s v="Office"/>
    <n v="1000"/>
    <n v="1.8595856619994786"/>
    <n v="537.75419999999997"/>
    <s v="Parfaite"/>
    <s v="P-JU-D1"/>
    <s v="PALF"/>
    <x v="6"/>
    <s v="Congo"/>
    <m/>
    <m/>
    <m/>
  </r>
  <r>
    <x v="180"/>
    <s v="Taxi: Direction Energie Electrique du congo-Bureau/ Paiement facture d'Electricité du mois de Mai et Juin 2025 "/>
    <s v="Transport"/>
    <s v="Office"/>
    <n v="1000"/>
    <n v="1.8595856619994786"/>
    <n v="537.75419999999997"/>
    <s v="Parfaite"/>
    <s v="P-JU-D1"/>
    <s v="PALF"/>
    <x v="6"/>
    <s v="Congo"/>
    <m/>
    <m/>
    <m/>
  </r>
  <r>
    <x v="180"/>
    <s v="Taxi:  Bureau- Cabinet maitre LOCKO/remis de chèque du mois de Juin 2025"/>
    <s v="Transport"/>
    <s v="Office"/>
    <n v="1000"/>
    <n v="1.8595856619994786"/>
    <n v="537.75419999999997"/>
    <s v="Parfaite"/>
    <s v="P-JU-D1"/>
    <s v="PALF"/>
    <x v="6"/>
    <s v="Congo"/>
    <m/>
    <m/>
    <m/>
  </r>
  <r>
    <x v="180"/>
    <s v="Taxi:  Cabinet maitre LOCKO - Domicile/remis de chèque du mois de Juin  2025"/>
    <s v="Transport"/>
    <s v="Office"/>
    <n v="1000"/>
    <n v="1.8595856619994786"/>
    <n v="537.75419999999997"/>
    <s v="Parfaite"/>
    <s v="P-JU-D1"/>
    <s v="PALF"/>
    <x v="6"/>
    <s v="Congo"/>
    <m/>
    <m/>
    <m/>
  </r>
  <r>
    <x v="180"/>
    <s v="Réglement facture électricité periode Mai-Juin 2025/bureau PALF"/>
    <s v="Rent &amp; Utilities"/>
    <s v="Office"/>
    <n v="71274"/>
    <n v="132.54010847335084"/>
    <n v="537.75419999999997"/>
    <s v="Parfaite"/>
    <s v="CA-JU-R6"/>
    <s v="PALF"/>
    <x v="6"/>
    <s v="Congo"/>
    <m/>
    <m/>
    <m/>
  </r>
  <r>
    <x v="180"/>
    <s v="Donald Roméo-CONGO Frais d'hôtel du  23 au 25/07/2025 à Owando (02 Nuitées)"/>
    <s v="Travel Subsistence"/>
    <s v="Legal"/>
    <n v="30000"/>
    <n v="55.787569859984359"/>
    <n v="537.75419999999997"/>
    <s v="Donald-Romeo"/>
    <s v="DR-JU-R4"/>
    <s v="PALF"/>
    <x v="6"/>
    <s v="Congo"/>
    <m/>
    <m/>
    <m/>
  </r>
  <r>
    <x v="180"/>
    <s v="Taxi moto Hôtel Case mbali-Agens trans Bony "/>
    <s v="Transport "/>
    <s v="Legal"/>
    <n v="500"/>
    <n v="0.92979283099973931"/>
    <n v="537.75419999999997"/>
    <s v="Donald-Romeo"/>
    <s v="DR-JU-D2"/>
    <s v="PALF"/>
    <x v="6"/>
    <s v="Congo"/>
    <m/>
    <m/>
    <m/>
  </r>
  <r>
    <x v="180"/>
    <s v="Taxi agence Trans Bony-Domicile"/>
    <s v="Transport "/>
    <s v="Legal"/>
    <n v="1000"/>
    <n v="1.8595856619994786"/>
    <n v="537.75419999999997"/>
    <s v="Donald-Romeo"/>
    <s v="DR-JU-D2"/>
    <s v="PALF"/>
    <x v="6"/>
    <s v="Congo"/>
    <m/>
    <m/>
    <m/>
  </r>
  <r>
    <x v="180"/>
    <s v="Paiement salaire du mois de Juillet 2025/BAVOUMINA NZOUSSI Dina Parfaite/3654406"/>
    <s v="Personnel"/>
    <s v="Office"/>
    <n v="230000"/>
    <n v="427.70470225988009"/>
    <n v="537.75419999999997"/>
    <s v="BCI"/>
    <s v="BQ-JU-R26"/>
    <s v="PALF"/>
    <x v="6"/>
    <s v="Congo"/>
    <m/>
    <m/>
    <m/>
  </r>
  <r>
    <x v="180"/>
    <s v="Paiement salaire du mois de Juillet 2025/FOUMBA Roderlin/3654404"/>
    <s v="Personnel"/>
    <s v="Legal"/>
    <n v="200000"/>
    <n v="371.91713239989576"/>
    <n v="537.75419999999997"/>
    <s v="BCI"/>
    <s v="BQ-JU-R27"/>
    <s v="PALF"/>
    <x v="6"/>
    <s v="Congo"/>
    <m/>
    <m/>
    <m/>
  </r>
  <r>
    <x v="180"/>
    <s v="Paiement salaire du mois de Juillet 2025/BOUNGOU MAKOSSO Abraham/3654403"/>
    <s v="Personnel"/>
    <s v="Legal"/>
    <n v="200000"/>
    <n v="371.91713239989576"/>
    <n v="537.75419999999997"/>
    <s v="BCI"/>
    <s v="BQ-JU-R28"/>
    <s v="PALF"/>
    <x v="6"/>
    <s v="Congo"/>
    <m/>
    <m/>
    <m/>
  </r>
  <r>
    <x v="180"/>
    <s v="Paiement salaire du mois de Juillet 2025/Crepin IBOUILI-IBOUILI"/>
    <s v="Personnel"/>
    <s v="Legal"/>
    <n v="1037411"/>
    <n v="1929.1546212005412"/>
    <n v="537.75419999999997"/>
    <s v="BCI"/>
    <s v="BQ-JU-R29"/>
    <s v="PALF"/>
    <x v="6"/>
    <s v="Congo"/>
    <m/>
    <m/>
    <m/>
  </r>
  <r>
    <x v="180"/>
    <s v="Paiement salaire du mois de Juillet 2025/PINDI BINGA Donald- Roméo"/>
    <s v="Personnel"/>
    <s v="Legal"/>
    <n v="300000"/>
    <n v="557.87569859984364"/>
    <n v="537.75419999999997"/>
    <s v="BCI"/>
    <s v="BQ-JU-R30"/>
    <s v="PALF"/>
    <x v="6"/>
    <s v="Congo"/>
    <m/>
    <m/>
    <m/>
  </r>
  <r>
    <x v="180"/>
    <s v="Paiement salaire du mois de  Juillet 2025/Evariste LELOUSSI"/>
    <s v="Personnel"/>
    <s v="Media"/>
    <n v="238140"/>
    <n v="442.84172954855586"/>
    <n v="537.75419999999997"/>
    <s v="BCI"/>
    <s v="BQ-JU-R31"/>
    <s v="PALF"/>
    <x v="6"/>
    <s v="Congo"/>
    <m/>
    <m/>
    <m/>
  </r>
  <r>
    <x v="180"/>
    <s v="Paiement salaire du mois de Juillet 2025/LOUNDOU JeanRomain/3654405"/>
    <s v="Personnel"/>
    <s v="Legal"/>
    <n v="70968"/>
    <n v="131.971075260779"/>
    <n v="537.75419999999997"/>
    <s v="BCI"/>
    <s v="BQ-JU-R32"/>
    <s v="PALF"/>
    <x v="6"/>
    <s v="Congo"/>
    <m/>
    <m/>
    <m/>
  </r>
  <r>
    <x v="180"/>
    <s v="Frais de virement des salaire du mois Juillet 2025"/>
    <s v="Bank fees"/>
    <s v="Office"/>
    <n v="10665"/>
    <n v="19.83248108522444"/>
    <n v="537.75419999999997"/>
    <s v="BCI"/>
    <s v="BQ-JU-R33"/>
    <s v="PALF"/>
    <x v="6"/>
    <s v="Congo"/>
    <m/>
    <m/>
    <m/>
  </r>
  <r>
    <x v="181"/>
    <s v="Maison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81"/>
    <s v="Bureau-Hyppocampe"/>
    <s v="Transport"/>
    <s v="Management"/>
    <n v="1000"/>
    <n v="1.8595856619994786"/>
    <n v="537.75419999999997"/>
    <s v="DOVI"/>
    <s v="DH-JU-D1"/>
    <s v="PALF"/>
    <x v="6"/>
    <s v="Congo"/>
    <m/>
    <m/>
    <m/>
  </r>
  <r>
    <x v="181"/>
    <s v="Aspinall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81"/>
    <s v="Bureau-Maison"/>
    <s v="Transport"/>
    <s v="Management"/>
    <n v="1000"/>
    <n v="1.8595856619994786"/>
    <n v="537.75419999999997"/>
    <s v="DOVI"/>
    <s v="DH-JU-D1"/>
    <s v="PALF"/>
    <x v="6"/>
    <s v="Congo"/>
    <m/>
    <m/>
    <m/>
  </r>
  <r>
    <x v="181"/>
    <s v="Frais de ramassage Ordure Juillet 2025"/>
    <s v="Rent et Utilities"/>
    <s v="Office"/>
    <n v="6000"/>
    <n v="11.157513971996872"/>
    <n v="537.75419999999997"/>
    <s v="Parfaite"/>
    <s v="CA-JU-R7"/>
    <s v="PALF"/>
    <x v="6"/>
    <s v="Congo"/>
    <m/>
    <m/>
    <m/>
  </r>
  <r>
    <x v="181"/>
    <s v=" Frais de prestation de nettoyage jardin PALF Juillet 2025"/>
    <s v="Services"/>
    <s v="Office"/>
    <n v="20000"/>
    <n v="37.191713239989575"/>
    <n v="537.75419999999997"/>
    <s v="Parfaite"/>
    <s v="CA-JU-R8"/>
    <s v="PALF"/>
    <x v="6"/>
    <s v="Congo"/>
    <m/>
    <m/>
    <m/>
  </r>
  <r>
    <x v="181"/>
    <s v="Reglement prestation de nettoyage  PALF du mois de Juillet 2025"/>
    <s v="Services"/>
    <s v="Office"/>
    <n v="75625"/>
    <n v="140.63116568871058"/>
    <n v="537.75419999999997"/>
    <s v="Parfaite"/>
    <s v="CA-JU-R9"/>
    <s v="PALF"/>
    <x v="6"/>
    <s v="Congo"/>
    <m/>
    <m/>
    <m/>
  </r>
  <r>
    <x v="181"/>
    <s v="Achat de 05 ampoule à crochet"/>
    <s v="Office Materiels"/>
    <s v="Office"/>
    <n v="12500"/>
    <n v="23.244820774993485"/>
    <n v="537.75419999999997"/>
    <s v="Parfaite"/>
    <s v="CA-JU-R10"/>
    <s v="PALF"/>
    <x v="6"/>
    <s v="Congo"/>
    <m/>
    <m/>
    <m/>
  </r>
  <r>
    <x v="181"/>
    <s v="Taxi bureau-Section de Recherches"/>
    <s v="Transport "/>
    <s v="Legal"/>
    <n v="1000"/>
    <n v="1.8595856619994786"/>
    <n v="537.75419999999997"/>
    <s v="Donald-Romeo"/>
    <s v="DR-JU-D2"/>
    <s v="PALF"/>
    <x v="6"/>
    <s v="Congo"/>
    <m/>
    <m/>
    <m/>
  </r>
  <r>
    <x v="181"/>
    <s v="Taxi Section de Recherches-bureau"/>
    <s v="Transport "/>
    <s v="Legal"/>
    <n v="1000"/>
    <n v="1.8595856619994786"/>
    <n v="537.75419999999997"/>
    <s v="Donald-Romeo"/>
    <s v="DR-JU-D2"/>
    <s v="PALF"/>
    <x v="6"/>
    <s v="Congo"/>
    <m/>
    <m/>
    <m/>
  </r>
  <r>
    <x v="181"/>
    <s v="Taxi, Bureau PALF-Les Dépêches de Brazzaville"/>
    <s v="Transport"/>
    <s v="Media"/>
    <n v="1000"/>
    <n v="1.8595856619994786"/>
    <n v="537.75419999999997"/>
    <s v="Evariste"/>
    <s v="EV-JU-D1"/>
    <s v="PALF"/>
    <x v="6"/>
    <s v="Congo"/>
    <m/>
    <m/>
    <m/>
  </r>
  <r>
    <x v="181"/>
    <s v="Taxi, Les Dépêches de Brazzaville-Radio Citoyenne des Jeunes"/>
    <s v="Transport"/>
    <s v="Media"/>
    <n v="1000"/>
    <n v="1.8595856619994786"/>
    <n v="537.75419999999997"/>
    <s v="Evariste"/>
    <s v="EV-JU-D1"/>
    <s v="PALF"/>
    <x v="6"/>
    <s v="Congo"/>
    <m/>
    <m/>
    <m/>
  </r>
  <r>
    <x v="181"/>
    <s v="Bonus media portant sur la condamnation ferme de 03 trafiquants de produits de la faune le 26 Juin 2025 à Impfondo pièces presse Internet"/>
    <s v="Bonus to media officer"/>
    <s v="Media"/>
    <n v="66000"/>
    <n v="122.7326536919656"/>
    <n v="537.75419999999997"/>
    <s v="Evariste"/>
    <s v="CA-JU-D2"/>
    <s v="PALF"/>
    <x v="6"/>
    <s v="Congo"/>
    <m/>
    <m/>
    <m/>
  </r>
  <r>
    <x v="181"/>
    <s v="Bonus media portant sur la condamnation ferme de 03 trafiquants de produits de la faune le 26 Juin 2025 à Impfondo pieces presse papier(les depêches de brazzaville, l'horizion africain, l'agence congolaise de l'information"/>
    <s v="Bonus to media officer"/>
    <s v="Media"/>
    <n v="30000"/>
    <n v="55.787569859984359"/>
    <n v="537.75419999999997"/>
    <s v="Evariste"/>
    <s v="CA-JU-D3"/>
    <s v="PALF"/>
    <x v="6"/>
    <s v="Congo"/>
    <m/>
    <m/>
    <m/>
  </r>
  <r>
    <x v="181"/>
    <s v="Bonus media portant sur la condamnation ferme de 03 trafiquants de produits de la faune le 26 Juin 2025 à Impfondo presse Radio citoyenne des jeunes"/>
    <s v="Bonus to media officer"/>
    <s v="Media"/>
    <n v="6000"/>
    <n v="11.157513971996872"/>
    <n v="537.75419999999997"/>
    <s v="Evariste"/>
    <s v="CA-JU-D4"/>
    <s v="PALF"/>
    <x v="6"/>
    <s v="Congo"/>
    <m/>
    <m/>
    <m/>
  </r>
  <r>
    <x v="181"/>
    <s v="Taxi: Bureau-marché Total/ à la rencontre de maître Hélène"/>
    <s v="Transport"/>
    <s v="Legal"/>
    <n v="1000"/>
    <n v="1.8595856619994786"/>
    <n v="537.75419999999997"/>
    <s v="Romain"/>
    <s v="RM-JU-D1"/>
    <s v="PALF"/>
    <x v="6"/>
    <s v="Congo"/>
    <m/>
    <m/>
    <m/>
  </r>
  <r>
    <x v="181"/>
    <s v="Taxi: Marché Total-Domicile"/>
    <s v="Transport"/>
    <s v="Legal"/>
    <n v="1000"/>
    <n v="1.8595856619994786"/>
    <n v="537.75419999999997"/>
    <s v="Romain"/>
    <s v="RM-JU-D1"/>
    <s v="PALF"/>
    <x v="6"/>
    <s v="Congo"/>
    <m/>
    <m/>
    <m/>
  </r>
  <r>
    <x v="181"/>
    <s v="Solde honoraire contrat N°76_Owando cas EBI Aimé brichly/Maitre Marie Hélène NANITELAMIO MALONGA/ 3654408"/>
    <s v="Lawyer Fees"/>
    <s v="Legal"/>
    <n v="300000"/>
    <n v="557.87569859984364"/>
    <n v="537.75419999999997"/>
    <s v="BCI"/>
    <s v="BQ-JU-R34"/>
    <s v="PALF"/>
    <x v="6"/>
    <s v="Congo"/>
    <m/>
    <m/>
    <m/>
  </r>
  <r>
    <x v="182"/>
    <s v="Maison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82"/>
    <s v="Bureau-Maison"/>
    <s v="Transport"/>
    <s v="Management"/>
    <n v="1000"/>
    <n v="1.8595856619994786"/>
    <n v="537.75419999999997"/>
    <s v="DOVI"/>
    <s v="DH-JU-D1"/>
    <s v="PALF"/>
    <x v="6"/>
    <s v="Congo"/>
    <m/>
    <m/>
    <m/>
  </r>
  <r>
    <x v="182"/>
    <s v="Taxi: Bureau -Marché / Achat des Ampoules bureau PALF"/>
    <s v="Transport"/>
    <s v="Office"/>
    <n v="1000"/>
    <n v="1.8595856619994786"/>
    <n v="537.75419999999997"/>
    <s v="Parfaite"/>
    <s v="P-JU-D1"/>
    <s v="PALF"/>
    <x v="6"/>
    <s v="Congo"/>
    <m/>
    <m/>
    <m/>
  </r>
  <r>
    <x v="182"/>
    <s v="Taxi: Marché  - Bureau/ Achat de Ampoules bureau PALF"/>
    <s v="Transport"/>
    <s v="Office"/>
    <n v="1000"/>
    <n v="1.8595856619994786"/>
    <n v="537.75419999999997"/>
    <s v="Parfaite"/>
    <s v="P-JU-D1"/>
    <s v="PALF"/>
    <x v="6"/>
    <s v="Congo"/>
    <m/>
    <m/>
    <m/>
  </r>
  <r>
    <x v="182"/>
    <s v="Frais de notification affaire de merveille/ Maître OKEMBA NGABOMBA"/>
    <s v="Lawyer Fees"/>
    <s v="Legal"/>
    <n v="115000"/>
    <n v="213.85235112994005"/>
    <n v="537.75419999999997"/>
    <s v="Parfaite"/>
    <s v="CA-JU-R11"/>
    <s v="PALF"/>
    <x v="6"/>
    <s v="Congo"/>
    <m/>
    <m/>
    <m/>
  </r>
  <r>
    <x v="182"/>
    <s v="Achat encre HP Laser noir et couleur 216A"/>
    <s v="Office Materiels"/>
    <s v="Office"/>
    <n v="300000"/>
    <n v="557.87569859984364"/>
    <n v="537.75419999999997"/>
    <s v="Parfaite"/>
    <s v="CA-JU-R12"/>
    <s v="PALF"/>
    <x v="6"/>
    <s v="Congo"/>
    <m/>
    <m/>
    <m/>
  </r>
  <r>
    <x v="182"/>
    <s v="Achat eau mineral 16 LITRES/Bureau"/>
    <s v="Office Materiels"/>
    <s v="Office"/>
    <n v="25000"/>
    <n v="46.48964154998697"/>
    <n v="537.75419999999997"/>
    <s v="Abraham"/>
    <s v="CA-JU-R13"/>
    <s v="PALF"/>
    <x v="6"/>
    <s v="Congo"/>
    <m/>
    <m/>
    <m/>
  </r>
  <r>
    <x v="182"/>
    <s v="Taxi, groupecongomedias.com-panoramik-atu.com"/>
    <s v="Transport"/>
    <s v="Media"/>
    <n v="1000"/>
    <n v="1.8595856619994786"/>
    <n v="537.75419999999997"/>
    <s v="Evariste"/>
    <s v="EV-JU-D1"/>
    <s v="PALF"/>
    <x v="6"/>
    <s v="Congo"/>
    <m/>
    <m/>
    <m/>
  </r>
  <r>
    <x v="182"/>
    <s v="Taxi, panoramik-actu.com-tribune-eco.com"/>
    <s v="Transport"/>
    <s v="Media"/>
    <n v="1000"/>
    <n v="1.8595856619994786"/>
    <n v="537.75419999999997"/>
    <s v="Evariste"/>
    <s v="EV-JU-D1"/>
    <s v="PALF"/>
    <x v="6"/>
    <s v="Congo"/>
    <m/>
    <m/>
    <m/>
  </r>
  <r>
    <x v="182"/>
    <s v="Taxi, tribune-eco.com-firstmediac.com"/>
    <s v="Transport"/>
    <s v="Media"/>
    <n v="1000"/>
    <n v="1.8595856619994786"/>
    <n v="537.75419999999997"/>
    <s v="Evariste"/>
    <s v="EV-JU-D1"/>
    <s v="PALF"/>
    <x v="6"/>
    <s v="Congo"/>
    <m/>
    <m/>
    <m/>
  </r>
  <r>
    <x v="182"/>
    <s v="Taxi, firstmediac.com-lesechos-congobrazza.com"/>
    <s v="Transport"/>
    <s v="Media"/>
    <n v="1000"/>
    <n v="1.8595856619994786"/>
    <n v="537.75419999999997"/>
    <s v="Evariste"/>
    <s v="EV-JU-D1"/>
    <s v="PALF"/>
    <x v="6"/>
    <s v="Congo"/>
    <m/>
    <m/>
    <m/>
  </r>
  <r>
    <x v="182"/>
    <s v="Taxi, lesechos-congobrazza.com-Agence Congolaise de l'Information"/>
    <s v="Transport"/>
    <s v="Media"/>
    <n v="1000"/>
    <n v="1.8595856619994786"/>
    <n v="537.75419999999997"/>
    <s v="Evariste"/>
    <s v="EV-JU-D1"/>
    <s v="PALF"/>
    <x v="6"/>
    <s v="Congo"/>
    <m/>
    <m/>
    <m/>
  </r>
  <r>
    <x v="182"/>
    <s v="Taxi, Agence Congolaise de l'Information-opinionpublique.cg"/>
    <s v="Transport"/>
    <s v="Media"/>
    <n v="1000"/>
    <n v="1.8595856619994786"/>
    <n v="537.75419999999997"/>
    <s v="Evariste"/>
    <s v="EV-JU-D1"/>
    <s v="PALF"/>
    <x v="6"/>
    <s v="Congo"/>
    <m/>
    <m/>
    <m/>
  </r>
  <r>
    <x v="182"/>
    <s v="Taxi, opinionpublique.cg-Bureau PALF"/>
    <s v="Transport"/>
    <s v="Media"/>
    <n v="1000"/>
    <n v="1.8595856619994786"/>
    <n v="537.75419999999997"/>
    <s v="Evariste"/>
    <s v="EV-JU-D1"/>
    <s v="PALF"/>
    <x v="6"/>
    <s v="Congo"/>
    <m/>
    <m/>
    <m/>
  </r>
  <r>
    <x v="183"/>
    <s v="Maison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83"/>
    <s v="Bureau-Maison"/>
    <s v="Transport"/>
    <s v="Management"/>
    <n v="1000"/>
    <n v="1.8595856619994786"/>
    <n v="537.75419999999997"/>
    <s v="DOVI"/>
    <s v="DH-JU-D1"/>
    <s v="PALF"/>
    <x v="6"/>
    <s v="Congo"/>
    <m/>
    <m/>
    <m/>
  </r>
  <r>
    <x v="183"/>
    <s v="Taxi:Bureau- Direction Canal Box/ Paiement internet du mois de Juin 2025"/>
    <s v="Transport"/>
    <s v="Office"/>
    <n v="1000"/>
    <n v="1.8595856619994786"/>
    <n v="537.75419999999997"/>
    <s v="Parfaite"/>
    <s v="P-JU-D1"/>
    <s v="PALF"/>
    <x v="6"/>
    <s v="Congo"/>
    <m/>
    <m/>
    <m/>
  </r>
  <r>
    <x v="183"/>
    <s v="Taxi: Direction Canal Box-Bureau/ Paiement internet du mois de Juin 2025"/>
    <s v="Transport"/>
    <s v="Office"/>
    <n v="1000"/>
    <n v="1.8595856619994786"/>
    <n v="537.75419999999997"/>
    <s v="Parfaite"/>
    <s v="P-JU-D1"/>
    <s v="PALF"/>
    <x v="6"/>
    <s v="Congo"/>
    <m/>
    <m/>
    <m/>
  </r>
  <r>
    <x v="183"/>
    <s v="Reglement facture internet periode du 01/08 au 31/08/2025 bureau PALF"/>
    <s v="Internet"/>
    <s v="Office"/>
    <n v="45050"/>
    <n v="83.774334073076517"/>
    <n v="537.75419999999997"/>
    <s v="Parfaite"/>
    <s v="CA-JU-R14"/>
    <s v="PALF"/>
    <x v="6"/>
    <s v="Congo"/>
    <m/>
    <m/>
    <m/>
  </r>
  <r>
    <x v="183"/>
    <s v="Reglement honoraire du mois de de Juin 2025/P29/3654409"/>
    <s v="Personnel"/>
    <s v="Investigation"/>
    <n v="370000"/>
    <n v="688.04669493980714"/>
    <n v="537.75419999999997"/>
    <s v="BCI"/>
    <s v="BQ-JU-R35"/>
    <s v="PALF"/>
    <x v="6"/>
    <s v="Congo"/>
    <m/>
    <m/>
    <m/>
  </r>
  <r>
    <x v="183"/>
    <s v="Reglement honoraire du mois de Juin 2025/T73/3654410"/>
    <m/>
    <s v="Investigation"/>
    <n v="225000"/>
    <n v="418.40677394988268"/>
    <n v="537.75419999999997"/>
    <s v="BCI"/>
    <s v="BQ-JU-R36"/>
    <s v="PALF"/>
    <x v="6"/>
    <s v="Congo"/>
    <m/>
    <m/>
    <m/>
  </r>
  <r>
    <x v="184"/>
    <s v="Maison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84"/>
    <s v="Bureau-Maison"/>
    <s v="Transport"/>
    <s v="Management"/>
    <n v="1000"/>
    <n v="1.8595856619994786"/>
    <n v="537.75419999999997"/>
    <s v="DOVI"/>
    <s v="DH-JU-D1"/>
    <s v="PALF"/>
    <x v="6"/>
    <s v="Congo"/>
    <m/>
    <m/>
    <m/>
  </r>
  <r>
    <x v="184"/>
    <s v="Taxi:  Bureau- Direction MTN/Achat crédits  departement legal/ Romain; Roderlin et Abraham"/>
    <s v="Transport"/>
    <s v="Office"/>
    <n v="1000"/>
    <n v="1.8595856619994786"/>
    <n v="537.75419999999997"/>
    <s v="Parfaite"/>
    <s v="P-JU-D1"/>
    <s v="PALF"/>
    <x v="6"/>
    <s v="Congo"/>
    <m/>
    <m/>
    <m/>
  </r>
  <r>
    <x v="184"/>
    <s v="Taxi:   Direction MTN- Domicile/Achat crédits  departement Legal/Romain, Roderlin et Abraham"/>
    <s v="Transport"/>
    <s v="Office"/>
    <n v="1000"/>
    <n v="1.8595856619994786"/>
    <n v="537.75419999999997"/>
    <s v="Parfaite"/>
    <s v="P-JU-D1"/>
    <s v="PALF"/>
    <x v="6"/>
    <s v="Congo"/>
    <m/>
    <m/>
    <m/>
  </r>
  <r>
    <x v="184"/>
    <s v="Credit teléphonique MTN PALF/ du 01 au 15 Août 2025/ Abraham"/>
    <s v="Telephone"/>
    <s v="Legal"/>
    <n v="5000"/>
    <n v="9.2979283099973937"/>
    <n v="537.75419999999997"/>
    <s v="Abraham"/>
    <s v="AB-JU-R1"/>
    <s v="PALF"/>
    <x v="6"/>
    <s v="Congo"/>
    <m/>
    <m/>
    <m/>
  </r>
  <r>
    <x v="184"/>
    <s v="Credit teléphonique MTN PALF du 01 au 15/Août 2025 /Roderlin"/>
    <s v="Telephone"/>
    <s v="Legal"/>
    <n v="5000"/>
    <n v="9.2979283099973937"/>
    <n v="537.75419999999997"/>
    <s v="Roderlin"/>
    <s v="RO-JU-R1"/>
    <s v="PALF"/>
    <x v="6"/>
    <s v="Congo"/>
    <m/>
    <m/>
    <m/>
  </r>
  <r>
    <x v="184"/>
    <s v="Taxi:Bureau-TGI pour le suivi d'audience "/>
    <s v="Transport"/>
    <s v="Legal"/>
    <n v="1000"/>
    <n v="1.8595856619994786"/>
    <n v="537.75419999999997"/>
    <s v="Roderlin"/>
    <s v="RO-JU-D1"/>
    <s v="PALF"/>
    <x v="6"/>
    <s v="Congo"/>
    <m/>
    <m/>
    <m/>
  </r>
  <r>
    <x v="184"/>
    <s v="Taxii:TGI-Bureau"/>
    <s v="Transport"/>
    <s v="Legal"/>
    <n v="1000"/>
    <n v="1.8595856619994786"/>
    <n v="537.75419999999997"/>
    <s v="Roderlin"/>
    <s v="RO-JU-D1"/>
    <s v="PALF"/>
    <x v="6"/>
    <s v="Congo"/>
    <m/>
    <m/>
    <m/>
  </r>
  <r>
    <x v="184"/>
    <s v="Credit teléphonique MTN PALF/du 01au 15 Août  2025/Romain"/>
    <s v="Transport"/>
    <s v="Legal"/>
    <n v="5000"/>
    <n v="9.2979283099973937"/>
    <n v="537.75419999999997"/>
    <s v="Romain"/>
    <s v="RM-JU-R1"/>
    <s v="PALF"/>
    <x v="6"/>
    <s v="Congo"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">
  <r>
    <d v="2025-07-01T00:00:00"/>
    <s v="Maison-Bureau"/>
    <x v="0"/>
    <x v="0"/>
    <n v="1000"/>
    <n v="1.7827139780891614"/>
    <n v="560.94248000000005"/>
    <x v="0"/>
    <s v="DH-JU-D1"/>
    <s v="PALF"/>
    <s v="Wildcat 2025"/>
    <s v="CONGO"/>
    <m/>
    <m/>
    <m/>
  </r>
  <r>
    <d v="2025-07-01T00:00:00"/>
    <s v="Bureau-Maison"/>
    <x v="0"/>
    <x v="0"/>
    <n v="1000"/>
    <n v="1.7827139780891614"/>
    <n v="560.94248000000005"/>
    <x v="0"/>
    <s v="DH-JU-D1"/>
    <s v="PALF"/>
    <s v="Wildcat 2025"/>
    <s v="CONGO"/>
    <m/>
    <m/>
    <m/>
  </r>
  <r>
    <d v="2025-07-02T00:00:00"/>
    <s v="Maison-Bureau"/>
    <x v="0"/>
    <x v="0"/>
    <n v="1000"/>
    <n v="1.7827139780891614"/>
    <n v="560.94248000000005"/>
    <x v="0"/>
    <s v="DH-JU-D1"/>
    <s v="PALF"/>
    <s v="Wildcat 2025"/>
    <s v="CONGO"/>
    <m/>
    <m/>
    <m/>
  </r>
  <r>
    <d v="2025-07-02T00:00:00"/>
    <s v="Bureau-Maison"/>
    <x v="0"/>
    <x v="0"/>
    <n v="1000"/>
    <n v="1.7827139780891614"/>
    <n v="560.94248000000005"/>
    <x v="0"/>
    <s v="DH-JU-D1"/>
    <s v="PALF"/>
    <s v="Wildcat 2025"/>
    <s v="CONGO"/>
    <m/>
    <m/>
    <m/>
  </r>
  <r>
    <d v="2025-07-02T00:00:00"/>
    <s v="Taxi:  Bureau-Banque BCI/ Retrait relevé de compte bancaire du mois de Juin 2025"/>
    <x v="0"/>
    <x v="1"/>
    <n v="1000"/>
    <n v="1.7827139780891614"/>
    <n v="560.94248000000005"/>
    <x v="1"/>
    <s v="P-JU-D1"/>
    <s v="PALF"/>
    <s v="Wildcat 2025"/>
    <s v="CONGO"/>
    <m/>
    <m/>
    <m/>
  </r>
  <r>
    <d v="2025-07-02T00:00:00"/>
    <s v="Taxi:  Banque BCI - Bureau/ Retrait relevé de compte bancaire du mois de Juin 2025"/>
    <x v="0"/>
    <x v="1"/>
    <n v="1000"/>
    <n v="1.7827139780891614"/>
    <n v="560.94248000000005"/>
    <x v="1"/>
    <s v="P-JU-D1"/>
    <s v="PALF"/>
    <s v="Wildcat 2025"/>
    <s v="CONGO"/>
    <m/>
    <m/>
    <m/>
  </r>
  <r>
    <d v="2025-07-02T00:00:00"/>
    <s v=" Frais de prestation de nettoyage jardin PALF Juin 2025"/>
    <x v="1"/>
    <x v="1"/>
    <n v="20000"/>
    <n v="35.654279561783227"/>
    <n v="560.94248000000005"/>
    <x v="1"/>
    <s v="CA-JU-R1"/>
    <s v="PALF"/>
    <s v="Wildcat 2025"/>
    <s v="CONGO"/>
    <m/>
    <m/>
    <m/>
  </r>
  <r>
    <d v="2025-07-03T00:00:00"/>
    <s v="Maison-Bureau"/>
    <x v="0"/>
    <x v="0"/>
    <n v="1000"/>
    <n v="1.7827139780891614"/>
    <n v="560.94248000000005"/>
    <x v="0"/>
    <s v="DH-JU-D1"/>
    <s v="PALF"/>
    <s v="Wildcat 2025"/>
    <s v="CONGO"/>
    <m/>
    <m/>
    <m/>
  </r>
  <r>
    <d v="2025-07-03T00:00:00"/>
    <s v="Bureau-Maison"/>
    <x v="0"/>
    <x v="0"/>
    <n v="1000"/>
    <n v="1.7827139780891614"/>
    <n v="560.94248000000005"/>
    <x v="0"/>
    <s v="DH-JU-D1"/>
    <s v="PALF"/>
    <s v="Wildcat 2025"/>
    <s v="CONGO"/>
    <m/>
    <m/>
    <m/>
  </r>
  <r>
    <d v="2025-07-03T00:00:00"/>
    <s v="Taxi:  Bureau- Société de gardiennage/remis de chèque du mois de Juin 2025"/>
    <x v="0"/>
    <x v="1"/>
    <n v="1000"/>
    <n v="1.7827139780891614"/>
    <n v="560.94248000000005"/>
    <x v="1"/>
    <s v="P-JU-D1"/>
    <s v="PALF"/>
    <s v="Wildcat 2025"/>
    <s v="CONGO"/>
    <m/>
    <m/>
    <m/>
  </r>
  <r>
    <d v="2025-07-03T00:00:00"/>
    <s v="Taxi:  Societé de gardiennage  - Bureau/remis de chèque du mois de Juin 2025"/>
    <x v="0"/>
    <x v="1"/>
    <n v="1000"/>
    <n v="1.7827139780891614"/>
    <n v="560.94248000000005"/>
    <x v="1"/>
    <s v="P-JU-D1"/>
    <s v="PALF"/>
    <s v="Wildcat 2025"/>
    <s v="CONGO"/>
    <m/>
    <m/>
    <m/>
  </r>
  <r>
    <d v="2025-07-03T00:00:00"/>
    <s v="Taxi:Bureau-Centre ville pour la rencontrer maître Hélene"/>
    <x v="0"/>
    <x v="2"/>
    <n v="1000"/>
    <n v="1.7827139780891614"/>
    <n v="560.94248000000005"/>
    <x v="2"/>
    <s v="RO-JU-D1"/>
    <s v="PALF"/>
    <s v="Wildcat 2025"/>
    <s v="CONGO"/>
    <m/>
    <m/>
    <m/>
  </r>
  <r>
    <d v="2025-07-03T00:00:00"/>
    <s v="Taxi:Centre ville-Bureau"/>
    <x v="0"/>
    <x v="2"/>
    <n v="1000"/>
    <n v="1.7827139780891614"/>
    <n v="560.94248000000005"/>
    <x v="2"/>
    <s v="RO-JU-D1"/>
    <s v="PALF"/>
    <s v="Wildcat 2025"/>
    <s v="CONGO"/>
    <m/>
    <m/>
    <m/>
  </r>
  <r>
    <d v="2025-07-03T00:00:00"/>
    <s v="Taxi:Bureau-Cabinet BANZOUZI pour la rémise du chèque "/>
    <x v="0"/>
    <x v="2"/>
    <n v="1000"/>
    <n v="1.7827139780891614"/>
    <n v="560.94248000000005"/>
    <x v="2"/>
    <s v="RO-JU-D1"/>
    <s v="PALF"/>
    <s v="Wildcat 2025"/>
    <s v="CONGO"/>
    <m/>
    <m/>
    <m/>
  </r>
  <r>
    <d v="2025-07-03T00:00:00"/>
    <s v="Taxi:Cabinet BANZOUZI-Domicile"/>
    <x v="0"/>
    <x v="2"/>
    <n v="1000"/>
    <n v="1.7827139780891614"/>
    <n v="560.94248000000005"/>
    <x v="2"/>
    <s v="RO-JU-D1"/>
    <s v="PALF"/>
    <s v="Wildcat 2025"/>
    <s v="CONGO"/>
    <m/>
    <m/>
    <m/>
  </r>
  <r>
    <d v="2025-07-03T00:00:00"/>
    <s v="Solde  honoraire contrat n°84 Impfondo cas MBEKELE ET CONSORTS/ Maître BANZOUZI Alain/3654886"/>
    <x v="2"/>
    <x v="2"/>
    <n v="300000"/>
    <n v="534.81419342674849"/>
    <n v="560.94248000000005"/>
    <x v="3"/>
    <s v="BQ-JU-R1"/>
    <s v="PALF"/>
    <s v="Wildcat 2025"/>
    <s v="CONGO"/>
    <m/>
    <m/>
    <m/>
  </r>
  <r>
    <d v="2025-07-03T00:00:00"/>
    <s v="Solde honoraire contrat N°49_Brazzaville cas BIHONDA Jean-LeBOUCK/Maitre Marie Hélène NANITELAMIO MALONGA/ 3654887"/>
    <x v="2"/>
    <x v="2"/>
    <n v="300000"/>
    <n v="534.81419342674849"/>
    <n v="560.94248000000005"/>
    <x v="3"/>
    <s v="BQ-JU-R2"/>
    <s v="PALF"/>
    <s v="Wildcat 2025"/>
    <s v="CONGO"/>
    <m/>
    <m/>
    <m/>
  </r>
  <r>
    <d v="2025-07-03T00:00:00"/>
    <s v="Reglement Facture Gardiennage Mois de Juin 2025/3654888"/>
    <x v="1"/>
    <x v="1"/>
    <n v="260000"/>
    <n v="463.50563430318198"/>
    <n v="560.94248000000005"/>
    <x v="3"/>
    <s v="BQ-JU-R3"/>
    <s v="PALF"/>
    <s v="Wildcat 2025"/>
    <s v="CONGO"/>
    <m/>
    <m/>
    <m/>
  </r>
  <r>
    <d v="2025-07-04T00:00:00"/>
    <s v="Maison-Bureau"/>
    <x v="0"/>
    <x v="0"/>
    <n v="1000"/>
    <n v="1.7827139780891614"/>
    <n v="560.94248000000005"/>
    <x v="0"/>
    <s v="DH-JU-D1"/>
    <s v="PALF"/>
    <s v="Wildcat 2025"/>
    <s v="CONGO"/>
    <m/>
    <m/>
    <m/>
  </r>
  <r>
    <d v="2025-07-04T00:00:00"/>
    <s v="Bureau-Maison"/>
    <x v="0"/>
    <x v="0"/>
    <n v="1000"/>
    <n v="1.7827139780891614"/>
    <n v="560.94248000000005"/>
    <x v="0"/>
    <s v="DH-JU-D1"/>
    <s v="PALF"/>
    <s v="Wildcat 2025"/>
    <s v="CONGO"/>
    <m/>
    <m/>
    <m/>
  </r>
  <r>
    <d v="2025-07-05T00:00:00"/>
    <s v="Maison-Bureau"/>
    <x v="0"/>
    <x v="0"/>
    <n v="1000"/>
    <n v="1.7827139780891614"/>
    <n v="560.94248000000005"/>
    <x v="0"/>
    <s v="DH-JU-D1"/>
    <s v="PALF"/>
    <s v="Wildcat 2025"/>
    <s v="CONGO"/>
    <m/>
    <m/>
    <m/>
  </r>
  <r>
    <d v="2025-07-05T00:00:00"/>
    <s v="Bureau-Maison"/>
    <x v="0"/>
    <x v="0"/>
    <n v="1000"/>
    <n v="1.7827139780891614"/>
    <n v="560.94248000000005"/>
    <x v="0"/>
    <s v="DH-JU-D1"/>
    <s v="PALF"/>
    <s v="Wildcat 2025"/>
    <s v="CONGO"/>
    <m/>
    <m/>
    <m/>
  </r>
  <r>
    <d v="2025-07-06T00:00:00"/>
    <s v="Maison-Bureau"/>
    <x v="0"/>
    <x v="0"/>
    <n v="1000"/>
    <n v="1.7827139780891614"/>
    <n v="560.94248000000005"/>
    <x v="0"/>
    <s v="DH-JU-D1"/>
    <s v="PALF"/>
    <s v="Wildcat 2025"/>
    <s v="CONGO"/>
    <m/>
    <m/>
    <m/>
  </r>
  <r>
    <d v="2025-07-06T00:00:00"/>
    <s v="Bureau-Maison"/>
    <x v="0"/>
    <x v="0"/>
    <n v="1000"/>
    <n v="1.7827139780891614"/>
    <n v="560.94248000000005"/>
    <x v="0"/>
    <s v="DH-JU-D1"/>
    <s v="PALF"/>
    <s v="Wildcat 2025"/>
    <s v="CONGO"/>
    <m/>
    <m/>
    <m/>
  </r>
  <r>
    <d v="2025-07-07T00:00:00"/>
    <s v="Maison-Bureau"/>
    <x v="0"/>
    <x v="0"/>
    <n v="1000"/>
    <n v="1.7827139780891614"/>
    <n v="560.94248000000005"/>
    <x v="0"/>
    <s v="DH-JU-D1"/>
    <s v="PALF"/>
    <s v="Wildcat 2025"/>
    <s v="CONGO"/>
    <m/>
    <m/>
    <m/>
  </r>
  <r>
    <d v="2025-07-07T00:00:00"/>
    <s v="Bureau-Maison"/>
    <x v="0"/>
    <x v="0"/>
    <n v="1000"/>
    <n v="1.7827139780891614"/>
    <n v="560.94248000000005"/>
    <x v="0"/>
    <s v="DH-JU-D1"/>
    <s v="PALF"/>
    <s v="Wildcat 2025"/>
    <s v="CONGO"/>
    <m/>
    <m/>
    <m/>
  </r>
  <r>
    <d v="2025-07-08T00:00:00"/>
    <s v="Règlement loyer Juin 2025/Coordinateur"/>
    <x v="3"/>
    <x v="0"/>
    <n v="174625"/>
    <n v="311.30642842381985"/>
    <n v="560.94248000000005"/>
    <x v="0"/>
    <s v="DH-JU-R1"/>
    <s v="PALF"/>
    <s v="Wildcat 2025"/>
    <s v="CONGO"/>
    <m/>
    <m/>
    <m/>
  </r>
  <r>
    <d v="2025-07-08T00:00:00"/>
    <s v="Maison- Bureau"/>
    <x v="0"/>
    <x v="0"/>
    <n v="1000"/>
    <n v="1.7827139780891614"/>
    <n v="560.94248000000005"/>
    <x v="0"/>
    <s v="DH-JU-D1"/>
    <s v="PALF"/>
    <s v="Wildcat 2025"/>
    <s v="CONGO"/>
    <m/>
    <m/>
    <m/>
  </r>
  <r>
    <d v="2025-07-08T00:00:00"/>
    <s v="Bureau-Maison"/>
    <x v="0"/>
    <x v="0"/>
    <n v="1000"/>
    <n v="1.7827139780891614"/>
    <n v="560.94248000000005"/>
    <x v="0"/>
    <s v="DH-JU-D1"/>
    <s v="PALF"/>
    <s v="Wildcat 2025"/>
    <s v="CONGO"/>
    <m/>
    <m/>
    <m/>
  </r>
  <r>
    <d v="2025-07-08T00:00:00"/>
    <s v="Achat eau mineral 10 Petite bouteille 0,6L/Bureau"/>
    <x v="4"/>
    <x v="1"/>
    <n v="2000"/>
    <n v="3.5654279561783229"/>
    <n v="560.94248000000005"/>
    <x v="2"/>
    <s v="CA-JU-R2"/>
    <s v="PALF"/>
    <s v="Wildcat 2025"/>
    <s v="CONGO"/>
    <m/>
    <m/>
    <m/>
  </r>
  <r>
    <d v="2025-07-09T00:00:00"/>
    <s v="Maison-Cabinet d'huissier"/>
    <x v="0"/>
    <x v="0"/>
    <n v="1000"/>
    <n v="1.7827139780891614"/>
    <n v="560.94248000000005"/>
    <x v="0"/>
    <s v="DH-JU-D1"/>
    <s v="PALF"/>
    <s v="Wildcat 2025"/>
    <s v="CONGO"/>
    <m/>
    <m/>
    <m/>
  </r>
  <r>
    <d v="2025-07-09T00:00:00"/>
    <s v="Cabinet - Bureau"/>
    <x v="0"/>
    <x v="0"/>
    <n v="1000"/>
    <n v="1.7827139780891614"/>
    <n v="560.94248000000005"/>
    <x v="0"/>
    <s v="DH-JU-D1"/>
    <s v="PALF"/>
    <s v="Wildcat 2025"/>
    <s v="CONGO"/>
    <m/>
    <m/>
    <m/>
  </r>
  <r>
    <d v="2025-07-09T00:00:00"/>
    <s v="Bureau-Maison"/>
    <x v="0"/>
    <x v="0"/>
    <n v="1000"/>
    <n v="1.7827139780891614"/>
    <n v="560.94248000000005"/>
    <x v="0"/>
    <s v="DH-JU-D1"/>
    <s v="PALF"/>
    <s v="Wildcat 2025"/>
    <s v="CONGO"/>
    <m/>
    <m/>
    <m/>
  </r>
  <r>
    <d v="2025-07-09T00:00:00"/>
    <s v="Taxi: Domicile-Burteau pour signature des pièces comptables/crépin"/>
    <x v="0"/>
    <x v="2"/>
    <n v="1000"/>
    <n v="1.7827139780891614"/>
    <n v="560.94248000000005"/>
    <x v="4"/>
    <s v="CR-JU-D1"/>
    <s v="PALF"/>
    <s v="Wildcat 2025"/>
    <s v="CONGO"/>
    <m/>
    <m/>
    <m/>
  </r>
  <r>
    <d v="2025-07-09T00:00:00"/>
    <s v="Taxi: Bureau-Domicile/crépin"/>
    <x v="0"/>
    <x v="2"/>
    <n v="1000"/>
    <n v="1.7827139780891614"/>
    <n v="560.94248000000005"/>
    <x v="4"/>
    <s v="CR-JU-D1"/>
    <s v="PALF"/>
    <s v="Wildcat 2025"/>
    <s v="CONGO"/>
    <m/>
    <m/>
    <m/>
  </r>
  <r>
    <d v="2025-07-10T00:00:00"/>
    <s v="Maison-Bureau"/>
    <x v="0"/>
    <x v="0"/>
    <n v="1000"/>
    <n v="1.7827139780891614"/>
    <n v="560.94248000000005"/>
    <x v="0"/>
    <s v="DH-JU-D1"/>
    <s v="PALF"/>
    <s v="Wildcat 2025"/>
    <s v="CONGO"/>
    <m/>
    <m/>
    <m/>
  </r>
  <r>
    <d v="2025-07-10T00:00:00"/>
    <s v="Bureau-Maison"/>
    <x v="0"/>
    <x v="0"/>
    <n v="1000"/>
    <n v="1.7827139780891614"/>
    <n v="560.94248000000005"/>
    <x v="0"/>
    <s v="DH-JU-D1"/>
    <s v="PALF"/>
    <s v="Wildcat 2025"/>
    <s v="CONGO"/>
    <m/>
    <m/>
    <m/>
  </r>
  <r>
    <d v="2025-07-10T00:00:00"/>
    <s v="Rembourssement frais de certificat d'Hebergement(Valentina et Martina) du 27/06/2025"/>
    <x v="5"/>
    <x v="3"/>
    <n v="-60000"/>
    <n v="-106.96283868534969"/>
    <n v="560.94248000000005"/>
    <x v="1"/>
    <s v="CA-JU-D1"/>
    <s v="PALF"/>
    <s v="Wildcat 2025"/>
    <s v="CONGO"/>
    <m/>
    <m/>
    <m/>
  </r>
  <r>
    <d v="2025-07-11T00:00:00"/>
    <s v="Maison-Bureau"/>
    <x v="0"/>
    <x v="0"/>
    <n v="1000"/>
    <n v="1.7827139780891614"/>
    <n v="560.94248000000005"/>
    <x v="0"/>
    <s v="DH-JU-D1"/>
    <s v="PALF"/>
    <s v="Wildcat 2025"/>
    <s v="CONGO"/>
    <m/>
    <m/>
    <m/>
  </r>
  <r>
    <d v="2025-07-11T00:00:00"/>
    <s v="Bureau-Maison"/>
    <x v="0"/>
    <x v="0"/>
    <n v="1000"/>
    <n v="1.7827139780891614"/>
    <n v="560.94248000000005"/>
    <x v="0"/>
    <s v="DH-JU-D1"/>
    <s v="PALF"/>
    <s v="Wildcat 2025"/>
    <s v="CONGO"/>
    <m/>
    <m/>
    <m/>
  </r>
  <r>
    <d v="2025-07-11T00:00:00"/>
    <s v="Taxi: Domicile-Bureau pour la signature des chèques des salaires/crépin"/>
    <x v="0"/>
    <x v="2"/>
    <n v="1000"/>
    <n v="1.7827139780891614"/>
    <n v="560.94248000000005"/>
    <x v="4"/>
    <s v="CR-JU-D1"/>
    <s v="PALF"/>
    <s v="Wildcat 2025"/>
    <s v="CONGO"/>
    <m/>
    <m/>
    <m/>
  </r>
  <r>
    <d v="2025-07-11T00:00:00"/>
    <s v="Taxi: Bureau-Domicile/crépin"/>
    <x v="0"/>
    <x v="2"/>
    <n v="1000"/>
    <n v="1.7827139780891614"/>
    <n v="560.94248000000005"/>
    <x v="4"/>
    <s v="CR-JU-D1"/>
    <s v="PALF"/>
    <s v="Wildcat 2025"/>
    <s v="CONGO"/>
    <m/>
    <m/>
    <m/>
  </r>
  <r>
    <d v="2025-07-11T00:00:00"/>
    <s v="Taxi:  Domicile-Banque BCI/ Vérification des fonds dans le compte "/>
    <x v="0"/>
    <x v="1"/>
    <n v="1000"/>
    <n v="1.7827139780891614"/>
    <n v="560.94248000000005"/>
    <x v="1"/>
    <s v="P-JU-D1"/>
    <s v="PALF"/>
    <s v="Wildcat 2025"/>
    <s v="CONGO"/>
    <m/>
    <m/>
    <m/>
  </r>
  <r>
    <d v="2025-07-11T00:00:00"/>
    <s v="Taxi:  Banque BCI - Bureau/  Vérification des fonds dans le compte "/>
    <x v="0"/>
    <x v="1"/>
    <n v="1000"/>
    <n v="1.7827139780891614"/>
    <n v="560.94248000000005"/>
    <x v="1"/>
    <s v="P-JU-D1"/>
    <s v="PALF"/>
    <s v="Wildcat 2025"/>
    <s v="CONGO"/>
    <m/>
    <m/>
    <m/>
  </r>
  <r>
    <d v="2025-07-11T00:00:00"/>
    <s v="Taxi:  Bureau-Banque BCI/ Dépôt ordre de virement salaire du mois de Juin 2025"/>
    <x v="0"/>
    <x v="1"/>
    <n v="1000"/>
    <n v="1.7827139780891614"/>
    <n v="560.94248000000005"/>
    <x v="1"/>
    <s v="P-JU-D1"/>
    <s v="PALF"/>
    <s v="Wildcat 2025"/>
    <s v="CONGO"/>
    <m/>
    <m/>
    <m/>
  </r>
  <r>
    <d v="2025-07-11T00:00:00"/>
    <s v="Taxi:  Banque BCI - Bureau/ Dépôt ordre de virement salaire du mois de Juin 2025"/>
    <x v="0"/>
    <x v="1"/>
    <n v="1000"/>
    <n v="1.7827139780891614"/>
    <n v="560.94248000000005"/>
    <x v="1"/>
    <s v="P-JU-D1"/>
    <s v="PALF"/>
    <s v="Wildcat 2025"/>
    <s v="CONGO"/>
    <m/>
    <m/>
    <m/>
  </r>
  <r>
    <d v="2025-07-11T00:00:00"/>
    <s v="Reglement loyer du mois de Juin 2025/3654885"/>
    <x v="6"/>
    <x v="1"/>
    <n v="500000"/>
    <n v="891.3569890445807"/>
    <n v="560.94248000000005"/>
    <x v="3"/>
    <s v="BQ-JU-R4"/>
    <s v="PALF"/>
    <s v="Wildcat 2025"/>
    <s v="CONGO"/>
    <m/>
    <m/>
    <m/>
  </r>
  <r>
    <d v="2025-07-11T00:00:00"/>
    <s v="RAPATRIEME01100 RAO00010859/OAT"/>
    <x v="7"/>
    <x v="4"/>
    <m/>
    <m/>
    <n v="534.23810000000003"/>
    <x v="3"/>
    <s v="BQ-JU-G1"/>
    <s v="PALF"/>
    <s v="OAT"/>
    <s v="CONGO"/>
    <n v="5342381"/>
    <n v="10000"/>
    <m/>
  </r>
  <r>
    <d v="2025-07-11T00:00:00"/>
    <s v="Reglement honoraire du mois de de Juin 2025/P29/36548890"/>
    <x v="3"/>
    <x v="3"/>
    <n v="400000"/>
    <n v="748.72982664471135"/>
    <n v="534.23810000000003"/>
    <x v="3"/>
    <s v="BQ-JU-R5"/>
    <s v="PALF"/>
    <s v="OAT"/>
    <s v="CONGO"/>
    <m/>
    <m/>
    <m/>
  </r>
  <r>
    <d v="2025-07-11T00:00:00"/>
    <s v="Reglement honoraire du mois de Juin 2025/T73/3654892"/>
    <x v="3"/>
    <x v="3"/>
    <n v="255000"/>
    <n v="477.31526448600351"/>
    <n v="534.23810000000003"/>
    <x v="3"/>
    <s v="BQ-JU-R6"/>
    <s v="PALF"/>
    <s v="OAT"/>
    <s v="CONGO"/>
    <m/>
    <m/>
    <m/>
  </r>
  <r>
    <d v="2025-07-11T00:00:00"/>
    <s v="Reglement honoraire du mois de Juin 2025/IT87/3654895"/>
    <x v="3"/>
    <x v="3"/>
    <n v="255000"/>
    <n v="477.31526448600351"/>
    <n v="534.23810000000003"/>
    <x v="3"/>
    <s v="BQ-JU-R7"/>
    <s v="PALF"/>
    <s v="OAT"/>
    <s v="CONGO"/>
    <m/>
    <m/>
    <m/>
  </r>
  <r>
    <d v="2025-07-11T00:00:00"/>
    <s v="Reglement honoraire du mois de Juin 2025/G12/3654894"/>
    <x v="3"/>
    <x v="3"/>
    <n v="255000"/>
    <n v="477.31526448600351"/>
    <n v="534.23810000000003"/>
    <x v="3"/>
    <s v="BQ-JU-R8"/>
    <s v="PALF"/>
    <s v="OAT"/>
    <s v="CONGO"/>
    <m/>
    <m/>
    <m/>
  </r>
  <r>
    <d v="2025-07-11T00:00:00"/>
    <s v="Paiement salaire du mois de Juin 2025/BAVOUMINA NZOUSSI Dina Parfaite/365897"/>
    <x v="3"/>
    <x v="1"/>
    <n v="230000"/>
    <n v="430.51965032070905"/>
    <n v="534.23810000000003"/>
    <x v="3"/>
    <s v="BQ-JU-R9"/>
    <s v="PALF"/>
    <s v="OAT"/>
    <s v="CONGO"/>
    <m/>
    <m/>
    <m/>
  </r>
  <r>
    <d v="2025-07-11T00:00:00"/>
    <s v="Paiement salaire du mois de Juin 2025/BOUNGOU MAKOSSO Abraham/3654896"/>
    <x v="3"/>
    <x v="2"/>
    <n v="200000"/>
    <n v="374.36491332235568"/>
    <n v="534.23810000000003"/>
    <x v="3"/>
    <s v="BQ-JU-R10"/>
    <s v="PALF"/>
    <s v="OAT"/>
    <s v="CONGO"/>
    <m/>
    <m/>
    <m/>
  </r>
  <r>
    <d v="2025-07-11T00:00:00"/>
    <s v="Paiement salaire du mois de Juin 2025/Crepin IBOUILI-IBOUILI"/>
    <x v="3"/>
    <x v="2"/>
    <n v="551482"/>
    <n v="1032.2775556441968"/>
    <n v="534.23810000000003"/>
    <x v="3"/>
    <s v="BQ-JU-R11"/>
    <s v="PALF"/>
    <s v="OAT"/>
    <s v="CONGO"/>
    <m/>
    <m/>
    <m/>
  </r>
  <r>
    <d v="2025-07-11T00:00:00"/>
    <s v="Paiement salaire du mois de Juin 2025/PINDI BINGA Donald- Roméo"/>
    <x v="3"/>
    <x v="2"/>
    <n v="300000"/>
    <n v="561.54736998353349"/>
    <n v="534.23810000000003"/>
    <x v="3"/>
    <s v="BQ-JU-R12"/>
    <s v="PALF"/>
    <s v="OAT"/>
    <s v="CONGO"/>
    <m/>
    <m/>
    <m/>
  </r>
  <r>
    <d v="2025-07-11T00:00:00"/>
    <s v="Paiement salaire du mois de  Juin 2025/Evariste LELOUSSI"/>
    <x v="3"/>
    <x v="5"/>
    <n v="238140"/>
    <n v="445.75630229292892"/>
    <n v="534.23810000000003"/>
    <x v="3"/>
    <s v="BQ-JU-R13"/>
    <s v="PALF"/>
    <s v="OAT"/>
    <s v="CONGO"/>
    <m/>
    <m/>
    <m/>
  </r>
  <r>
    <d v="2025-07-11T00:00:00"/>
    <s v="Paiement salaire du  01 au 18 Juin 2025/Homéfa DOVI/3654898"/>
    <x v="3"/>
    <x v="0"/>
    <n v="786600"/>
    <n v="1472.3772040968249"/>
    <n v="534.23810000000003"/>
    <x v="3"/>
    <s v="BQ-JU-R14"/>
    <s v="PALF"/>
    <s v="OAT"/>
    <s v="CONGO"/>
    <m/>
    <m/>
    <m/>
  </r>
  <r>
    <d v="2025-07-11T00:00:00"/>
    <s v="Paiement salaire du 19 au 30 Juin 2025/Homéfa DOVI/3654898"/>
    <x v="3"/>
    <x v="0"/>
    <n v="524400"/>
    <n v="981.58480273121666"/>
    <n v="534.23810000000003"/>
    <x v="3"/>
    <s v="BQ-JU-R15"/>
    <s v="PALF"/>
    <s v="OAT"/>
    <s v="CONGO"/>
    <m/>
    <m/>
    <m/>
  </r>
  <r>
    <d v="2025-07-11T00:00:00"/>
    <s v="Frais de virement des salaire du mois Juin 2025"/>
    <x v="8"/>
    <x v="1"/>
    <n v="10665"/>
    <n v="19.963009002914617"/>
    <n v="534.23810000000003"/>
    <x v="3"/>
    <s v="BQ-JU-R16"/>
    <s v="PALF"/>
    <s v="OAT"/>
    <s v="CONGO"/>
    <m/>
    <m/>
    <m/>
  </r>
  <r>
    <d v="2025-07-14T00:00:00"/>
    <s v="Maison-Bureau"/>
    <x v="0"/>
    <x v="0"/>
    <n v="1000"/>
    <n v="1.8718245666117783"/>
    <n v="534.23810000000003"/>
    <x v="0"/>
    <s v="DH-JU-D1"/>
    <s v="PALF"/>
    <s v="OAT"/>
    <s v="CONGO"/>
    <m/>
    <m/>
    <m/>
  </r>
  <r>
    <d v="2025-07-14T00:00:00"/>
    <s v="Bureau-Maison"/>
    <x v="0"/>
    <x v="0"/>
    <n v="1000"/>
    <n v="1.8718245666117783"/>
    <n v="534.23810000000003"/>
    <x v="0"/>
    <s v="DH-JU-D1"/>
    <s v="PALF"/>
    <s v="OAT"/>
    <s v="CONGO"/>
    <m/>
    <m/>
    <m/>
  </r>
  <r>
    <d v="2025-07-14T00:00:00"/>
    <s v="Paiement salaire du mois de Juin 2025/FOUMBA Roderlin/3654900"/>
    <x v="3"/>
    <x v="2"/>
    <n v="200000"/>
    <n v="374.36491332235568"/>
    <n v="534.23810000000003"/>
    <x v="3"/>
    <s v="BQ-JU-R17"/>
    <s v="PALF"/>
    <s v="OAT"/>
    <s v="CONGO"/>
    <m/>
    <m/>
    <m/>
  </r>
  <r>
    <d v="2025-07-15T00:00:00"/>
    <s v="Maison- Cabinet d'huissier"/>
    <x v="0"/>
    <x v="0"/>
    <n v="1000"/>
    <n v="1.8718245666117783"/>
    <n v="534.23810000000003"/>
    <x v="0"/>
    <s v="DH-JU-D1"/>
    <s v="PALF"/>
    <s v="OAT"/>
    <s v="CONGO"/>
    <m/>
    <m/>
    <m/>
  </r>
  <r>
    <d v="2025-07-15T00:00:00"/>
    <s v="Cabinet - Bureau"/>
    <x v="0"/>
    <x v="0"/>
    <n v="1000"/>
    <n v="1.8718245666117783"/>
    <n v="534.23810000000003"/>
    <x v="0"/>
    <s v="DH-JU-D1"/>
    <s v="PALF"/>
    <s v="OAT"/>
    <s v="CONGO"/>
    <m/>
    <m/>
    <m/>
  </r>
  <r>
    <d v="2025-07-15T00:00:00"/>
    <s v="Bureau-Maison"/>
    <x v="0"/>
    <x v="0"/>
    <n v="1000"/>
    <n v="1.8718245666117783"/>
    <n v="534.23810000000003"/>
    <x v="0"/>
    <s v="DH-JU-D1"/>
    <s v="PALF"/>
    <s v="OAT"/>
    <s v="CONGO"/>
    <m/>
    <m/>
    <m/>
  </r>
  <r>
    <d v="2025-07-15T00:00:00"/>
    <s v="Taxi:  Bureau-Banque BCI"/>
    <x v="0"/>
    <x v="1"/>
    <n v="1000"/>
    <n v="1.8718245666117783"/>
    <n v="534.23810000000003"/>
    <x v="1"/>
    <s v="P-JU-D1"/>
    <s v="PALF"/>
    <s v="OAT"/>
    <s v="CONGO"/>
    <m/>
    <m/>
    <m/>
  </r>
  <r>
    <d v="2025-07-15T00:00:00"/>
    <s v="Taxi:  Banque BCI - CNSS/Paiement CNSS deuxième  trimestre de l'année 2025"/>
    <x v="0"/>
    <x v="1"/>
    <n v="1000"/>
    <n v="1.8718245666117783"/>
    <n v="534.23810000000003"/>
    <x v="1"/>
    <s v="P-JU-D1"/>
    <s v="PALF"/>
    <s v="OAT"/>
    <s v="CONGO"/>
    <m/>
    <m/>
    <m/>
  </r>
  <r>
    <d v="2025-07-15T00:00:00"/>
    <s v="Taxi: CNSS-Bureau"/>
    <x v="0"/>
    <x v="1"/>
    <n v="1000"/>
    <n v="1.8718245666117783"/>
    <n v="534.23810000000003"/>
    <x v="1"/>
    <s v="P-JU-D1"/>
    <s v="PALF"/>
    <s v="OAT"/>
    <s v="CONGO"/>
    <m/>
    <m/>
    <m/>
  </r>
  <r>
    <d v="2025-07-15T00:00:00"/>
    <s v="Paiement CNSS deuxième trimestre/Avril, Mai et Juin 2025/Crepin /3654899"/>
    <x v="3"/>
    <x v="2"/>
    <n v="368700"/>
    <n v="690.1417177097627"/>
    <n v="534.23810000000003"/>
    <x v="3"/>
    <s v="BQ-JU-R18"/>
    <s v="PALF"/>
    <s v="OAT"/>
    <s v="CONGO"/>
    <m/>
    <m/>
    <m/>
  </r>
  <r>
    <d v="2025-07-15T00:00:00"/>
    <s v="Paiement CNSS deuxième trimestre/Avril, Mai et Juin 2025/Donald-Roméo/3654899"/>
    <x v="3"/>
    <x v="2"/>
    <n v="177789"/>
    <n v="332.78981787334146"/>
    <n v="534.23810000000003"/>
    <x v="3"/>
    <s v="BQ-JU-R19"/>
    <s v="PALF"/>
    <s v="OAT"/>
    <s v="CONGO"/>
    <m/>
    <m/>
    <m/>
  </r>
  <r>
    <d v="2025-07-15T00:00:00"/>
    <s v="Paiement CNSS deuxième trimestre/Avril, Mai et Juin 2025/Romain/3654899"/>
    <x v="3"/>
    <x v="2"/>
    <n v="118814"/>
    <n v="222.39896405741183"/>
    <n v="534.23810000000003"/>
    <x v="3"/>
    <s v="BQ-JU-R20"/>
    <s v="PALF"/>
    <s v="OAT"/>
    <s v="CONGO"/>
    <m/>
    <m/>
    <m/>
  </r>
  <r>
    <d v="2025-07-15T00:00:00"/>
    <s v="Paiement CNSS deuxième trimestre/Avril, Mai et Juin 2025/Roderlin/3654899"/>
    <x v="3"/>
    <x v="2"/>
    <n v="103494"/>
    <n v="193.72261169691939"/>
    <n v="534.23810000000003"/>
    <x v="3"/>
    <s v="BQ-JU-R21"/>
    <s v="PALF"/>
    <s v="OAT"/>
    <s v="CONGO"/>
    <m/>
    <m/>
    <m/>
  </r>
  <r>
    <d v="2025-07-15T00:00:00"/>
    <s v="Paiement CNSS deuxième trimestre/Avril, Mai et Juin 2025/Abraham/3654899"/>
    <x v="3"/>
    <x v="2"/>
    <n v="103494"/>
    <n v="193.72261169691939"/>
    <n v="534.23810000000003"/>
    <x v="3"/>
    <s v="BQ-JU-R22"/>
    <s v="PALF"/>
    <s v="OAT"/>
    <s v="CONGO"/>
    <m/>
    <m/>
    <m/>
  </r>
  <r>
    <d v="2025-07-15T00:00:00"/>
    <s v="Paiement CNSS deuxième trimestre/Avril, Mai et Juin 2025/Parfaite/3654899"/>
    <x v="3"/>
    <x v="1"/>
    <n v="124433"/>
    <n v="232.91674629720342"/>
    <n v="534.23810000000003"/>
    <x v="3"/>
    <s v="BQ-JU-R23"/>
    <s v="PALF"/>
    <s v="OAT"/>
    <s v="CONGO"/>
    <m/>
    <m/>
    <m/>
  </r>
  <r>
    <d v="2025-07-15T00:00:00"/>
    <s v="Paiement CNSS deuxième trimestre/Avril, Mai et Juin 2025/Evariste/3654899"/>
    <x v="3"/>
    <x v="5"/>
    <n v="155330"/>
    <n v="276.90896221658943"/>
    <n v="560.94248000000005"/>
    <x v="3"/>
    <s v="BQ-JU-R24"/>
    <s v="PALF"/>
    <s v="Wildcat 2025"/>
    <s v="CONGO"/>
    <m/>
    <m/>
    <m/>
  </r>
  <r>
    <d v="2025-07-16T00:00:00"/>
    <s v="Maison-Bureau"/>
    <x v="0"/>
    <x v="0"/>
    <n v="1000"/>
    <n v="1.8718245666117783"/>
    <n v="534.23810000000003"/>
    <x v="0"/>
    <s v="DH-JU-D1"/>
    <s v="PALF"/>
    <s v="OAT"/>
    <s v="CONGO"/>
    <m/>
    <m/>
    <m/>
  </r>
  <r>
    <d v="2025-07-16T00:00:00"/>
    <s v="Bureau-Maison"/>
    <x v="0"/>
    <x v="0"/>
    <n v="1000"/>
    <n v="1.8718245666117783"/>
    <n v="534.23810000000003"/>
    <x v="0"/>
    <s v="DH-JU-D1"/>
    <s v="PALF"/>
    <s v="OAT"/>
    <s v="CONGO"/>
    <m/>
    <m/>
    <m/>
  </r>
  <r>
    <d v="2025-07-16T00:00:00"/>
    <s v="Taxi:  Bureau- Direction MTN/Achat crédits  departement management"/>
    <x v="0"/>
    <x v="1"/>
    <n v="1000"/>
    <n v="1.8718245666117783"/>
    <n v="534.23810000000003"/>
    <x v="1"/>
    <s v="P-JU-D1"/>
    <s v="PALF"/>
    <s v="OAT"/>
    <s v="CONGO"/>
    <m/>
    <m/>
    <m/>
  </r>
  <r>
    <d v="2025-07-16T00:00:00"/>
    <s v="Taxi:   Direction MTN- Domicile/Achat crédits  departement management"/>
    <x v="0"/>
    <x v="1"/>
    <n v="1000"/>
    <n v="1.8718245666117783"/>
    <n v="534.23810000000003"/>
    <x v="1"/>
    <s v="P-JU-D1"/>
    <s v="PALF"/>
    <s v="OAT"/>
    <s v="CONGO"/>
    <m/>
    <m/>
    <m/>
  </r>
  <r>
    <d v="2025-07-16T00:00:00"/>
    <s v="Credit teléphonique MTN PALF/ du 16 au 31 Juillet 2025/ Parfaite"/>
    <x v="9"/>
    <x v="0"/>
    <n v="5000"/>
    <n v="9.3591228330588923"/>
    <n v="534.23810000000003"/>
    <x v="1"/>
    <s v="P-JU-R1"/>
    <s v="PALF"/>
    <s v="OAT"/>
    <s v="CONGO"/>
    <m/>
    <m/>
    <m/>
  </r>
  <r>
    <d v="2025-07-16T00:00:00"/>
    <s v="Credit teléphonique MTN PALF/ du 16 au 31 Juillet 2025/ DOVI"/>
    <x v="9"/>
    <x v="0"/>
    <n v="20000"/>
    <n v="35.654279561783227"/>
    <n v="560.94248000000005"/>
    <x v="0"/>
    <s v="DH-JU-R2"/>
    <s v="PALF"/>
    <s v="Wildcat 2025"/>
    <s v="CONGO"/>
    <m/>
    <m/>
    <m/>
  </r>
  <r>
    <d v="2025-07-17T00:00:00"/>
    <s v="Maison-Bureau"/>
    <x v="0"/>
    <x v="0"/>
    <n v="1000"/>
    <n v="1.8718245666117783"/>
    <n v="534.23810000000003"/>
    <x v="0"/>
    <s v="DH-JU-D1"/>
    <s v="PALF"/>
    <s v="OAT"/>
    <s v="CONGO"/>
    <m/>
    <m/>
    <m/>
  </r>
  <r>
    <d v="2025-07-17T00:00:00"/>
    <s v="Bureau- Interpol"/>
    <x v="0"/>
    <x v="0"/>
    <n v="1000"/>
    <n v="1.8718245666117783"/>
    <n v="534.23810000000003"/>
    <x v="0"/>
    <s v="DH-JU-D1"/>
    <s v="PALF"/>
    <s v="OAT"/>
    <s v="CONGO"/>
    <m/>
    <m/>
    <m/>
  </r>
  <r>
    <d v="2025-07-17T00:00:00"/>
    <s v="Interpol-Bureau"/>
    <x v="0"/>
    <x v="0"/>
    <n v="1000"/>
    <n v="1.8718245666117783"/>
    <n v="534.23810000000003"/>
    <x v="0"/>
    <s v="DH-JU-D1"/>
    <s v="PALF"/>
    <s v="OAT"/>
    <s v="CONGO"/>
    <m/>
    <m/>
    <m/>
  </r>
  <r>
    <d v="2025-07-17T00:00:00"/>
    <s v="Bureau-Maison"/>
    <x v="0"/>
    <x v="0"/>
    <n v="1000"/>
    <n v="1.8718245666117783"/>
    <n v="534.23810000000003"/>
    <x v="0"/>
    <s v="DH-JU-D1"/>
    <s v="PALF"/>
    <s v="OAT"/>
    <s v="CONGO"/>
    <m/>
    <m/>
    <m/>
  </r>
  <r>
    <d v="2025-07-17T00:00:00"/>
    <s v="Taxi: Ecole de police-Bureau/crépin"/>
    <x v="0"/>
    <x v="2"/>
    <n v="1000"/>
    <n v="1.8718245666117783"/>
    <n v="534.23810000000003"/>
    <x v="4"/>
    <s v="CR-JU-D1"/>
    <s v="PALF"/>
    <s v="OAT"/>
    <s v="CONGO"/>
    <m/>
    <m/>
    <m/>
  </r>
  <r>
    <d v="2025-07-18T00:00:00"/>
    <s v="Maison- Bureau"/>
    <x v="0"/>
    <x v="0"/>
    <n v="1000"/>
    <n v="1.8718245666117783"/>
    <n v="534.23810000000003"/>
    <x v="0"/>
    <s v="DH-JU-D1"/>
    <s v="PALF"/>
    <s v="OAT"/>
    <s v="CONGO"/>
    <m/>
    <m/>
    <m/>
  </r>
  <r>
    <d v="2025-07-18T00:00:00"/>
    <s v="Bureau-Cabinet d'huissier"/>
    <x v="0"/>
    <x v="0"/>
    <n v="1000"/>
    <n v="1.8718245666117783"/>
    <n v="534.23810000000003"/>
    <x v="0"/>
    <s v="DH-JU-D1"/>
    <s v="PALF"/>
    <s v="OAT"/>
    <s v="CONGO"/>
    <m/>
    <m/>
    <m/>
  </r>
  <r>
    <d v="2025-07-18T00:00:00"/>
    <s v="Cabinet d'huissier - Bureau"/>
    <x v="0"/>
    <x v="0"/>
    <n v="1000"/>
    <n v="1.8718245666117783"/>
    <n v="534.23810000000003"/>
    <x v="0"/>
    <s v="DH-JU-D1"/>
    <s v="PALF"/>
    <s v="OAT"/>
    <s v="CONGO"/>
    <m/>
    <m/>
    <m/>
  </r>
  <r>
    <d v="2025-07-18T00:00:00"/>
    <s v="Bureau-Hôtel PEFACO (rendez vous)"/>
    <x v="0"/>
    <x v="0"/>
    <n v="1000"/>
    <n v="1.8718245666117783"/>
    <n v="534.23810000000003"/>
    <x v="0"/>
    <s v="DH-JU-D1"/>
    <s v="PALF"/>
    <s v="OAT"/>
    <s v="CONGO"/>
    <m/>
    <m/>
    <m/>
  </r>
  <r>
    <d v="2025-07-18T00:00:00"/>
    <s v="Hôtel PEFACO -Bureau"/>
    <x v="0"/>
    <x v="0"/>
    <n v="1000"/>
    <n v="1.8718245666117783"/>
    <n v="534.23810000000003"/>
    <x v="0"/>
    <s v="DH-JU-D1"/>
    <s v="PALF"/>
    <s v="OAT"/>
    <s v="CONGO"/>
    <m/>
    <m/>
    <m/>
  </r>
  <r>
    <d v="2025-07-18T00:00:00"/>
    <s v="Bureau-Maison"/>
    <x v="0"/>
    <x v="0"/>
    <n v="1000"/>
    <n v="1.8718245666117783"/>
    <n v="534.23810000000003"/>
    <x v="0"/>
    <s v="DH-JU-D1"/>
    <s v="PALF"/>
    <s v="OAT"/>
    <s v="CONGO"/>
    <m/>
    <m/>
    <m/>
  </r>
  <r>
    <d v="2025-07-21T00:00:00"/>
    <s v="Maison-Bureau"/>
    <x v="0"/>
    <x v="0"/>
    <n v="1000"/>
    <n v="1.8718245666117783"/>
    <n v="534.23810000000003"/>
    <x v="0"/>
    <s v="DH-JU-D1"/>
    <s v="PALF"/>
    <s v="OAT"/>
    <s v="CONGO"/>
    <m/>
    <m/>
    <m/>
  </r>
  <r>
    <d v="2025-07-21T00:00:00"/>
    <s v="Bureau-Maison"/>
    <x v="0"/>
    <x v="0"/>
    <n v="1000"/>
    <n v="1.8718245666117783"/>
    <n v="534.23810000000003"/>
    <x v="0"/>
    <s v="DH-JU-D1"/>
    <s v="PALF"/>
    <s v="OAT"/>
    <s v="CONGO"/>
    <m/>
    <m/>
    <m/>
  </r>
  <r>
    <d v="2025-07-21T00:00:00"/>
    <s v="Taxi:Bureau-Station SNPC Total/Achat carburant/Abraham"/>
    <x v="0"/>
    <x v="2"/>
    <n v="2000"/>
    <n v="3.7436491332235566"/>
    <n v="534.23810000000003"/>
    <x v="5"/>
    <s v="AB-JU-D1"/>
    <s v="PALF"/>
    <s v="OAT"/>
    <s v="CONGO"/>
    <m/>
    <m/>
    <m/>
  </r>
  <r>
    <d v="2025-07-21T00:00:00"/>
    <s v="Taxi:Station SNPC Total-Station X-oil Plateau Ville/Achat carburant/Abraham"/>
    <x v="0"/>
    <x v="2"/>
    <n v="1500"/>
    <n v="2.8077368499176676"/>
    <n v="534.23810000000003"/>
    <x v="5"/>
    <s v="AB-JU-D1"/>
    <s v="PALF"/>
    <s v="OAT"/>
    <s v="CONGO"/>
    <m/>
    <m/>
    <m/>
  </r>
  <r>
    <d v="2025-07-21T00:00:00"/>
    <s v="Taxi:Station X-oil Plateau Ville-Station SNPC Centre Ville/Achat carburant/Abraham"/>
    <x v="0"/>
    <x v="2"/>
    <n v="1500"/>
    <n v="2.8077368499176676"/>
    <n v="534.23810000000003"/>
    <x v="5"/>
    <s v="AB-JU-D1"/>
    <s v="PALF"/>
    <s v="OAT"/>
    <s v="CONGO"/>
    <m/>
    <m/>
    <m/>
  </r>
  <r>
    <d v="2025-07-21T00:00:00"/>
    <s v="Taxi:Station SNPC Ville-Station Total Matsoua/Achat carburant/Abraham"/>
    <x v="0"/>
    <x v="2"/>
    <n v="2000"/>
    <n v="3.7436491332235566"/>
    <n v="534.23810000000003"/>
    <x v="5"/>
    <s v="AB-JU-D1"/>
    <s v="PALF"/>
    <s v="OAT"/>
    <s v="CONGO"/>
    <m/>
    <m/>
    <m/>
  </r>
  <r>
    <d v="2025-07-21T00:00:00"/>
    <s v="Taxi:Station Total Matsoua-Station X-oil Patte d'oie/Achat carburant/Abraham"/>
    <x v="0"/>
    <x v="2"/>
    <n v="2000"/>
    <n v="3.7436491332235566"/>
    <n v="534.23810000000003"/>
    <x v="5"/>
    <s v="AB-JU-D1"/>
    <s v="PALF"/>
    <s v="OAT"/>
    <s v="CONGO"/>
    <m/>
    <m/>
    <m/>
  </r>
  <r>
    <d v="2025-07-21T00:00:00"/>
    <s v="Taxi: Station X-oil Patte d'oie-Bureau/Achat carburant/Abraham"/>
    <x v="0"/>
    <x v="2"/>
    <n v="1000"/>
    <n v="1.8718245666117783"/>
    <n v="534.23810000000003"/>
    <x v="5"/>
    <s v="AB-JU-D1"/>
    <s v="PALF"/>
    <s v="OAT"/>
    <s v="CONGO"/>
    <m/>
    <m/>
    <m/>
  </r>
  <r>
    <d v="2025-07-21T00:00:00"/>
    <s v="Achat carburant groupe electrogène Bureau"/>
    <x v="4"/>
    <x v="1"/>
    <n v="31250"/>
    <n v="58.494517706618076"/>
    <n v="534.23810000000003"/>
    <x v="5"/>
    <s v="CA-JU-R3"/>
    <s v="PALF"/>
    <s v="OAT"/>
    <s v="CONGO"/>
    <m/>
    <m/>
    <m/>
  </r>
  <r>
    <d v="2025-07-21T00:00:00"/>
    <s v="Taxi:Station marché total-Station rond-point moungali"/>
    <x v="0"/>
    <x v="2"/>
    <n v="2000"/>
    <n v="3.7436491332235566"/>
    <n v="534.23810000000003"/>
    <x v="2"/>
    <s v="RO-JU-D1"/>
    <s v="PALF"/>
    <s v="OAT"/>
    <s v="CONGO"/>
    <m/>
    <m/>
    <m/>
  </r>
  <r>
    <d v="2025-07-21T00:00:00"/>
    <s v="Taxi:Station rond point Moungali-Station 31 juillet Marché Moungali"/>
    <x v="0"/>
    <x v="2"/>
    <n v="2000"/>
    <n v="3.7436491332235566"/>
    <n v="534.23810000000003"/>
    <x v="2"/>
    <s v="RO-JU-D1"/>
    <s v="PALF"/>
    <s v="OAT"/>
    <s v="CONGO"/>
    <m/>
    <m/>
    <m/>
  </r>
  <r>
    <d v="2025-07-21T00:00:00"/>
    <s v="Taxi:Station marché moungali-Station 10 maisons"/>
    <x v="0"/>
    <x v="2"/>
    <n v="3000"/>
    <n v="5.6154736998353352"/>
    <n v="534.23810000000003"/>
    <x v="2"/>
    <s v="RO-JU-D1"/>
    <s v="PALF"/>
    <s v="OAT"/>
    <s v="CONGO"/>
    <m/>
    <m/>
    <m/>
  </r>
  <r>
    <d v="2025-07-21T00:00:00"/>
    <s v="Achat carburant groupe electrogène Bureau"/>
    <x v="4"/>
    <x v="1"/>
    <n v="31250"/>
    <n v="58.494517706618076"/>
    <n v="534.23810000000003"/>
    <x v="2"/>
    <s v="CA-JU-R4"/>
    <s v="PALF"/>
    <s v="OAT"/>
    <s v="CONGO"/>
    <m/>
    <m/>
    <m/>
  </r>
  <r>
    <d v="2025-07-22T00:00:00"/>
    <s v="Maison-Bureau"/>
    <x v="0"/>
    <x v="0"/>
    <n v="1000"/>
    <n v="1.8718245666117783"/>
    <n v="534.23810000000003"/>
    <x v="0"/>
    <s v="DH-JU-D1"/>
    <s v="PALF"/>
    <s v="OAT"/>
    <s v="CONGO"/>
    <m/>
    <m/>
    <m/>
  </r>
  <r>
    <d v="2025-07-22T00:00:00"/>
    <s v="Bureau - Maison"/>
    <x v="0"/>
    <x v="0"/>
    <n v="1000"/>
    <n v="1.8718245666117783"/>
    <n v="534.23810000000003"/>
    <x v="0"/>
    <s v="DH-JU-D1"/>
    <s v="PALF"/>
    <s v="OAT"/>
    <s v="CONGO"/>
    <m/>
    <m/>
    <m/>
  </r>
  <r>
    <d v="2025-07-22T00:00:00"/>
    <s v="Taxi:  Bureau-Banque BCI/ Verification de fonds dans le compte"/>
    <x v="0"/>
    <x v="1"/>
    <n v="1000"/>
    <n v="1.8718245666117783"/>
    <n v="534.23810000000003"/>
    <x v="1"/>
    <s v="P-JU-D1"/>
    <s v="PALF"/>
    <s v="OAT"/>
    <s v="CONGO"/>
    <m/>
    <m/>
    <m/>
  </r>
  <r>
    <d v="2025-07-22T00:00:00"/>
    <s v="Taxi:  Banque BCI - CNSS/ vérification des cotisations dans les comptes des agents PALF"/>
    <x v="0"/>
    <x v="1"/>
    <n v="1000"/>
    <n v="1.8718245666117783"/>
    <n v="534.23810000000003"/>
    <x v="1"/>
    <s v="P-JU-D1"/>
    <s v="PALF"/>
    <s v="OAT"/>
    <s v="CONGO"/>
    <m/>
    <m/>
    <m/>
  </r>
  <r>
    <d v="2025-07-22T00:00:00"/>
    <s v="Taxi: CNSS- Bureau/Pour les cours Banque et CNSS"/>
    <x v="0"/>
    <x v="1"/>
    <n v="1000"/>
    <n v="1.8718245666117783"/>
    <n v="534.23810000000003"/>
    <x v="1"/>
    <s v="P-JU-D1"/>
    <s v="PALF"/>
    <s v="OAT"/>
    <s v="CONGO"/>
    <m/>
    <m/>
    <m/>
  </r>
  <r>
    <d v="2025-07-22T00:00:00"/>
    <s v="Taxi:  Bureau- Direction MTN/Achat crédits  departement legal/ Donald-Roméo"/>
    <x v="0"/>
    <x v="1"/>
    <n v="1000"/>
    <n v="1.8718245666117783"/>
    <n v="534.23810000000003"/>
    <x v="1"/>
    <s v="P-JU-D1"/>
    <s v="PALF"/>
    <s v="OAT"/>
    <s v="CONGO"/>
    <m/>
    <m/>
    <m/>
  </r>
  <r>
    <d v="2025-07-22T00:00:00"/>
    <s v="Taxi:   Direction MTN- Domicile/Achat crédits  departement Legal/Donald-Roméo"/>
    <x v="0"/>
    <x v="1"/>
    <n v="1000"/>
    <n v="1.8718245666117783"/>
    <n v="534.23810000000003"/>
    <x v="1"/>
    <s v="P-JU-D1"/>
    <s v="PALF"/>
    <s v="OAT"/>
    <s v="CONGO"/>
    <m/>
    <m/>
    <m/>
  </r>
  <r>
    <d v="2025-07-22T00:00:00"/>
    <s v="Credit teléphonique MTN PALF/du 22 au 31 Juillet 2025/Donald-Roméo"/>
    <x v="9"/>
    <x v="2"/>
    <n v="5000"/>
    <n v="9.3591228330588923"/>
    <n v="534.23810000000003"/>
    <x v="6"/>
    <s v="DR-JU-R1"/>
    <s v="PALF"/>
    <s v="OAT"/>
    <s v="CONGO"/>
    <m/>
    <m/>
    <m/>
  </r>
  <r>
    <d v="2025-07-22T00:00:00"/>
    <s v="Taxi Bureau-Agence trans Bony/ Reservation du billet"/>
    <x v="10"/>
    <x v="2"/>
    <n v="1000"/>
    <n v="1.8718245666117783"/>
    <n v="534.23810000000003"/>
    <x v="6"/>
    <s v="DR-JU-D2"/>
    <s v="PALF"/>
    <s v="OAT"/>
    <s v="CONGO"/>
    <m/>
    <m/>
    <m/>
  </r>
  <r>
    <d v="2025-07-22T00:00:00"/>
    <s v="Achat billet Brazzaville-Owando/ Donald-Roméo"/>
    <x v="10"/>
    <x v="2"/>
    <n v="7000"/>
    <n v="13.102771966282448"/>
    <n v="534.23810000000003"/>
    <x v="6"/>
    <s v="DR-JU-R2"/>
    <s v="PALF"/>
    <s v="OAT"/>
    <s v="CONGO"/>
    <m/>
    <m/>
    <m/>
  </r>
  <r>
    <d v="2025-07-22T00:00:00"/>
    <s v="Taxi agence Trans Bony-Domicile"/>
    <x v="10"/>
    <x v="2"/>
    <n v="1000"/>
    <n v="1.8718245666117783"/>
    <n v="534.23810000000003"/>
    <x v="6"/>
    <s v="DR-JU-D2"/>
    <s v="PALF"/>
    <s v="OAT"/>
    <s v="CONGO"/>
    <m/>
    <m/>
    <m/>
  </r>
  <r>
    <d v="2025-07-22T00:00:00"/>
    <s v="Taxi, Bureau PALF-CNSS"/>
    <x v="0"/>
    <x v="5"/>
    <n v="1000"/>
    <n v="1.8718245666117783"/>
    <n v="534.23810000000003"/>
    <x v="7"/>
    <s v="EV-JU-D1"/>
    <s v="PALF"/>
    <s v="OAT"/>
    <s v="CONGO"/>
    <m/>
    <m/>
    <m/>
  </r>
  <r>
    <d v="2025-07-22T00:00:00"/>
    <s v="RAPATRIEME01100 RAO00010768/Fondation Elonga"/>
    <x v="7"/>
    <x v="4"/>
    <m/>
    <m/>
    <n v="537.75419999999997"/>
    <x v="3"/>
    <s v="BQ-JU-G2"/>
    <s v="PALF"/>
    <s v="ELONGA"/>
    <s v="CONGO"/>
    <n v="5377542"/>
    <n v="10000"/>
    <m/>
  </r>
  <r>
    <d v="2025-07-23T00:00:00"/>
    <s v="Maison-Bureau"/>
    <x v="0"/>
    <x v="0"/>
    <n v="1000"/>
    <n v="1.8595856619994786"/>
    <n v="537.75419999999997"/>
    <x v="0"/>
    <s v="DH-JU-D1"/>
    <s v="PALF"/>
    <s v="ELONGA"/>
    <s v="CONGO"/>
    <m/>
    <m/>
    <m/>
  </r>
  <r>
    <d v="2025-07-23T00:00:00"/>
    <s v="Bureau-Maison"/>
    <x v="0"/>
    <x v="0"/>
    <n v="1000"/>
    <n v="1.8595856619994786"/>
    <n v="537.75419999999997"/>
    <x v="0"/>
    <s v="DH-JU-D1"/>
    <s v="PALF"/>
    <s v="ELONGA"/>
    <s v="CONGO"/>
    <m/>
    <m/>
    <m/>
  </r>
  <r>
    <d v="2025-07-23T00:00:00"/>
    <s v="Taxi Domicile-Agence trans Bony/ Pour Owando"/>
    <x v="10"/>
    <x v="2"/>
    <n v="1000"/>
    <n v="1.8595856619994786"/>
    <n v="537.75419999999997"/>
    <x v="6"/>
    <s v="DR-JU-D2"/>
    <s v="PALF"/>
    <s v="ELONGA"/>
    <s v="CONGO"/>
    <m/>
    <m/>
    <m/>
  </r>
  <r>
    <d v="2025-07-23T00:00:00"/>
    <s v="Taxi Agence Trans Bony d'Owando-Hôtel case mbali"/>
    <x v="10"/>
    <x v="2"/>
    <n v="500"/>
    <n v="0.92979283099973931"/>
    <n v="537.75419999999997"/>
    <x v="6"/>
    <s v="DR-JU-D2"/>
    <s v="PALF"/>
    <s v="ELONGA"/>
    <s v="CONGO"/>
    <m/>
    <m/>
    <m/>
  </r>
  <r>
    <d v="2025-07-23T00:00:00"/>
    <s v="Donald-Roméo CONGO Ration  du  23 au 25/07/2025 à Owando"/>
    <x v="11"/>
    <x v="2"/>
    <n v="20000"/>
    <n v="37.191713239989575"/>
    <n v="537.75419999999997"/>
    <x v="6"/>
    <s v="DR-JU-D1"/>
    <s v="PALF"/>
    <s v="ELONGA"/>
    <s v="CONGO"/>
    <m/>
    <m/>
    <m/>
  </r>
  <r>
    <d v="2025-07-24T00:00:00"/>
    <s v="Maison-Bureau"/>
    <x v="0"/>
    <x v="0"/>
    <n v="1000"/>
    <n v="1.8595856619994786"/>
    <n v="537.75419999999997"/>
    <x v="0"/>
    <s v="DH-JU-D1"/>
    <s v="PALF"/>
    <s v="ELONGA"/>
    <s v="CONGO"/>
    <m/>
    <m/>
    <m/>
  </r>
  <r>
    <d v="2025-07-24T00:00:00"/>
    <s v="Bureau-Maison"/>
    <x v="0"/>
    <x v="0"/>
    <n v="1000"/>
    <n v="1.8595856619994786"/>
    <n v="537.75419999999997"/>
    <x v="0"/>
    <s v="DH-JU-D1"/>
    <s v="PALF"/>
    <s v="ELONGA"/>
    <s v="CONGO"/>
    <m/>
    <m/>
    <m/>
  </r>
  <r>
    <d v="2025-07-24T00:00:00"/>
    <s v="Taxi: Domicile Mayanga-Marché Total pour le bureau après l'appel du Coordinateur/crépin"/>
    <x v="0"/>
    <x v="2"/>
    <n v="1000"/>
    <n v="1.8595856619994786"/>
    <n v="537.75419999999997"/>
    <x v="4"/>
    <s v="CR-JU-D1"/>
    <s v="PALF"/>
    <s v="ELONGA"/>
    <s v="CONGO"/>
    <m/>
    <m/>
    <m/>
  </r>
  <r>
    <d v="2025-07-24T00:00:00"/>
    <s v="Taxi: Marché Total-Bureau/crépin"/>
    <x v="0"/>
    <x v="2"/>
    <n v="1000"/>
    <n v="1.8595856619994786"/>
    <n v="537.75419999999997"/>
    <x v="4"/>
    <s v="CR-JU-D1"/>
    <s v="PALF"/>
    <s v="ELONGA"/>
    <s v="CONGO"/>
    <m/>
    <m/>
    <m/>
  </r>
  <r>
    <d v="2025-07-24T00:00:00"/>
    <s v="Taxi: Bureau-Marché Total/crépin"/>
    <x v="0"/>
    <x v="2"/>
    <n v="1000"/>
    <n v="1.8595856619994786"/>
    <n v="537.75419999999997"/>
    <x v="4"/>
    <s v="CR-JU-D1"/>
    <s v="PALF"/>
    <s v="ELONGA"/>
    <s v="CONGO"/>
    <m/>
    <m/>
    <m/>
  </r>
  <r>
    <d v="2025-07-24T00:00:00"/>
    <s v="Marché Total-Domicile Mayanga/crépin"/>
    <x v="0"/>
    <x v="2"/>
    <n v="1000"/>
    <n v="1.8595856619994786"/>
    <n v="537.75419999999997"/>
    <x v="4"/>
    <s v="CR-JU-D1"/>
    <s v="PALF"/>
    <s v="ELONGA"/>
    <s v="CONGO"/>
    <m/>
    <m/>
    <m/>
  </r>
  <r>
    <d v="2025-07-24T00:00:00"/>
    <s v="Taxi:  Banque BCI - Bureau/ Aprro caisse"/>
    <x v="0"/>
    <x v="1"/>
    <n v="1000"/>
    <n v="1.8595856619994786"/>
    <n v="537.75419999999997"/>
    <x v="1"/>
    <s v="P-JU-D1"/>
    <s v="PALF"/>
    <s v="ELONGA"/>
    <s v="CONGO"/>
    <m/>
    <m/>
    <m/>
  </r>
  <r>
    <d v="2025-07-24T00:00:00"/>
    <s v="Taxi:  Bureau- Direction MTN/Transfert d'argent à Donald-Roméo"/>
    <x v="0"/>
    <x v="1"/>
    <n v="1000"/>
    <n v="1.8595856619994786"/>
    <n v="537.75419999999997"/>
    <x v="1"/>
    <s v="P-JU-D1"/>
    <s v="PALF"/>
    <s v="ELONGA"/>
    <s v="CONGO"/>
    <m/>
    <m/>
    <m/>
  </r>
  <r>
    <d v="2025-07-24T00:00:00"/>
    <s v="Taxi:   Direction MTN- Bureau/ Transfert d'argent et Appros caisse"/>
    <x v="0"/>
    <x v="1"/>
    <n v="1000"/>
    <n v="1.8595856619994786"/>
    <n v="537.75419999999997"/>
    <x v="1"/>
    <s v="P-JU-D1"/>
    <s v="PALF"/>
    <s v="ELONGA"/>
    <s v="CONGO"/>
    <m/>
    <m/>
    <m/>
  </r>
  <r>
    <d v="2025-07-24T00:00:00"/>
    <s v="Frais de tansfert d'argent à  Donald-Roméo"/>
    <x v="12"/>
    <x v="1"/>
    <n v="700"/>
    <n v="1.3017099633996352"/>
    <n v="537.75419999999997"/>
    <x v="1"/>
    <s v="CA-JU-R5"/>
    <s v="PALF"/>
    <s v="ELONGA"/>
    <s v="CONGO"/>
    <m/>
    <m/>
    <m/>
  </r>
  <r>
    <d v="2025-07-24T00:00:00"/>
    <s v="Taxi moto Hôtel Case Mbali-TGI"/>
    <x v="10"/>
    <x v="2"/>
    <n v="500"/>
    <n v="0.92979283099973931"/>
    <n v="537.75419999999997"/>
    <x v="6"/>
    <s v="DR-JU-D2"/>
    <s v="PALF"/>
    <s v="ELONGA"/>
    <s v="CONGO"/>
    <m/>
    <m/>
    <m/>
  </r>
  <r>
    <d v="2025-07-24T00:00:00"/>
    <s v="Taxi moto TGI- Agence Trans Bony/ Reserver les billets retour"/>
    <x v="10"/>
    <x v="2"/>
    <n v="500"/>
    <n v="0.92979283099973931"/>
    <n v="537.75419999999997"/>
    <x v="6"/>
    <s v="DR-JU-D2"/>
    <s v="PALF"/>
    <s v="ELONGA"/>
    <s v="CONGO"/>
    <m/>
    <m/>
    <m/>
  </r>
  <r>
    <d v="2025-07-24T00:00:00"/>
    <s v="Taxi moto Agence trans Bony- Hôtel Case Mbali"/>
    <x v="10"/>
    <x v="2"/>
    <n v="500"/>
    <n v="0.92979283099973931"/>
    <n v="537.75419999999997"/>
    <x v="6"/>
    <s v="DR-JU-D2"/>
    <s v="PALF"/>
    <s v="ELONGA"/>
    <s v="CONGO"/>
    <m/>
    <m/>
    <m/>
  </r>
  <r>
    <d v="2025-07-24T00:00:00"/>
    <s v="Achat billet Owando-Brazzaville/Donald-Roméo"/>
    <x v="10"/>
    <x v="2"/>
    <n v="7000"/>
    <n v="13.017099633996351"/>
    <n v="537.75419999999997"/>
    <x v="6"/>
    <s v="DR-JU-R3"/>
    <s v="PALF"/>
    <s v="ELONGA"/>
    <s v="CONGO"/>
    <m/>
    <m/>
    <m/>
  </r>
  <r>
    <d v="2025-07-25T00:00:00"/>
    <s v="Maison-Bureau"/>
    <x v="0"/>
    <x v="0"/>
    <n v="1000"/>
    <n v="1.8595856619994786"/>
    <n v="537.75419999999997"/>
    <x v="0"/>
    <s v="DH-JU-D1"/>
    <s v="PALF"/>
    <s v="ELONGA"/>
    <s v="CONGO"/>
    <m/>
    <m/>
    <m/>
  </r>
  <r>
    <d v="2025-07-25T00:00:00"/>
    <s v="Bureau-Maison"/>
    <x v="0"/>
    <x v="0"/>
    <n v="1000"/>
    <n v="1.8595856619994786"/>
    <n v="537.75419999999997"/>
    <x v="0"/>
    <s v="DH-JU-D1"/>
    <s v="PALF"/>
    <s v="ELONGA"/>
    <s v="CONGO"/>
    <m/>
    <m/>
    <m/>
  </r>
  <r>
    <d v="2025-07-25T00:00:00"/>
    <s v="Taxi: Domicile-Marché Total pour rencontre avec la comptable/crépin"/>
    <x v="0"/>
    <x v="2"/>
    <n v="1000"/>
    <n v="1.8595856619994786"/>
    <n v="537.75419999999997"/>
    <x v="4"/>
    <s v="CR-JU-D1"/>
    <s v="PALF"/>
    <s v="ELONGA"/>
    <s v="CONGO"/>
    <m/>
    <m/>
    <m/>
  </r>
  <r>
    <d v="2025-07-25T00:00:00"/>
    <s v="Taxi: Marché Total-Domicile/crépin"/>
    <x v="0"/>
    <x v="2"/>
    <n v="1000"/>
    <n v="1.8595856619994786"/>
    <n v="537.75419999999997"/>
    <x v="4"/>
    <s v="CR-JU-D1"/>
    <s v="PALF"/>
    <s v="ELONGA"/>
    <s v="CONGO"/>
    <m/>
    <m/>
    <m/>
  </r>
  <r>
    <d v="2025-07-25T00:00:00"/>
    <s v="Taxi:  Bureau- Cabinet d'avocat/Paiement des frais de notification cas Mervielle"/>
    <x v="0"/>
    <x v="1"/>
    <n v="1000"/>
    <n v="1.8595856619994786"/>
    <n v="537.75419999999997"/>
    <x v="1"/>
    <s v="P-JU-D1"/>
    <s v="PALF"/>
    <s v="ELONGA"/>
    <s v="CONGO"/>
    <m/>
    <m/>
    <m/>
  </r>
  <r>
    <d v="2025-07-25T00:00:00"/>
    <s v="Taxi:  Cabinet d'Avocat - Bureau/Paiement des frais de notification cas Mervielle"/>
    <x v="0"/>
    <x v="1"/>
    <n v="1000"/>
    <n v="1.8595856619994786"/>
    <n v="537.75419999999997"/>
    <x v="1"/>
    <s v="P-JU-D1"/>
    <s v="PALF"/>
    <s v="ELONGA"/>
    <s v="CONGO"/>
    <m/>
    <m/>
    <m/>
  </r>
  <r>
    <d v="2025-07-25T00:00:00"/>
    <s v="Taxi:  Bureau-Banque BCI/ Dépôt ordre de virement salaire du mois de Juillet 2025"/>
    <x v="0"/>
    <x v="1"/>
    <n v="1000"/>
    <n v="1.8595856619994786"/>
    <n v="537.75419999999997"/>
    <x v="1"/>
    <s v="P-JU-D1"/>
    <s v="PALF"/>
    <s v="ELONGA"/>
    <s v="CONGO"/>
    <m/>
    <m/>
    <m/>
  </r>
  <r>
    <d v="2025-07-25T00:00:00"/>
    <s v="Taxi:  Banque BCI - Direction Energie Electrique du congo / Paiement facture d'Electricité du mois de Mai et Juin 2025"/>
    <x v="0"/>
    <x v="1"/>
    <n v="1000"/>
    <n v="1.8595856619994786"/>
    <n v="537.75419999999997"/>
    <x v="1"/>
    <s v="P-JU-D1"/>
    <s v="PALF"/>
    <s v="ELONGA"/>
    <s v="CONGO"/>
    <m/>
    <m/>
    <m/>
  </r>
  <r>
    <d v="2025-07-25T00:00:00"/>
    <s v="Taxi: Direction Energie Electrique du congo-Bureau/ Paiement facture d'Electricité du mois de Mai et Juin 2025 "/>
    <x v="0"/>
    <x v="1"/>
    <n v="1000"/>
    <n v="1.8595856619994786"/>
    <n v="537.75419999999997"/>
    <x v="1"/>
    <s v="P-JU-D1"/>
    <s v="PALF"/>
    <s v="ELONGA"/>
    <s v="CONGO"/>
    <m/>
    <m/>
    <m/>
  </r>
  <r>
    <d v="2025-07-25T00:00:00"/>
    <s v="Taxi:  Bureau- Cabinet maitre LOCKO/remis de chèque du mois de Juin 2025"/>
    <x v="0"/>
    <x v="1"/>
    <n v="1000"/>
    <n v="1.8595856619994786"/>
    <n v="537.75419999999997"/>
    <x v="1"/>
    <s v="P-JU-D1"/>
    <s v="PALF"/>
    <s v="ELONGA"/>
    <s v="CONGO"/>
    <m/>
    <m/>
    <m/>
  </r>
  <r>
    <d v="2025-07-25T00:00:00"/>
    <s v="Taxi:  Cabinet maitre LOCKO - Domicile/remis de chèque du mois de Juin  2025"/>
    <x v="0"/>
    <x v="1"/>
    <n v="1000"/>
    <n v="1.8595856619994786"/>
    <n v="537.75419999999997"/>
    <x v="1"/>
    <s v="P-JU-D1"/>
    <s v="PALF"/>
    <s v="ELONGA"/>
    <s v="CONGO"/>
    <m/>
    <m/>
    <m/>
  </r>
  <r>
    <d v="2025-07-25T00:00:00"/>
    <s v="Réglement facture électricité periode Mai-Juin 2025/bureau PALF"/>
    <x v="6"/>
    <x v="1"/>
    <n v="71274"/>
    <n v="132.54010847335084"/>
    <n v="537.75419999999997"/>
    <x v="1"/>
    <s v="CA-JU-R6"/>
    <s v="PALF"/>
    <s v="ELONGA"/>
    <s v="CONGO"/>
    <m/>
    <m/>
    <m/>
  </r>
  <r>
    <d v="2025-07-25T00:00:00"/>
    <s v="Donald Roméo-CONGO Frais d'hôtel du  23 au 25/07/2025 à Owando (02 Nuitées)"/>
    <x v="11"/>
    <x v="2"/>
    <n v="30000"/>
    <n v="55.787569859984359"/>
    <n v="537.75419999999997"/>
    <x v="6"/>
    <s v="DR-JU-R4"/>
    <s v="PALF"/>
    <s v="ELONGA"/>
    <s v="CONGO"/>
    <m/>
    <m/>
    <m/>
  </r>
  <r>
    <d v="2025-07-25T00:00:00"/>
    <s v="Taxi moto Hôtel Case mbali-Agens trans Bony "/>
    <x v="10"/>
    <x v="2"/>
    <n v="500"/>
    <n v="0.92979283099973931"/>
    <n v="537.75419999999997"/>
    <x v="6"/>
    <s v="DR-JU-D2"/>
    <s v="PALF"/>
    <s v="ELONGA"/>
    <s v="CONGO"/>
    <m/>
    <m/>
    <m/>
  </r>
  <r>
    <d v="2025-07-25T00:00:00"/>
    <s v="Taxi agence Trans Bony-Domicile"/>
    <x v="10"/>
    <x v="2"/>
    <n v="1000"/>
    <n v="1.8595856619994786"/>
    <n v="537.75419999999997"/>
    <x v="6"/>
    <s v="DR-JU-D2"/>
    <s v="PALF"/>
    <s v="ELONGA"/>
    <s v="CONGO"/>
    <m/>
    <m/>
    <m/>
  </r>
  <r>
    <d v="2025-07-25T00:00:00"/>
    <s v="Paiement salaire du mois de Juillet 2025/BAVOUMINA NZOUSSI Dina Parfaite/3654406"/>
    <x v="3"/>
    <x v="1"/>
    <n v="230000"/>
    <n v="427.70470225988009"/>
    <n v="537.75419999999997"/>
    <x v="3"/>
    <s v="BQ-JU-R26"/>
    <s v="PALF"/>
    <s v="ELONGA"/>
    <s v="CONGO"/>
    <m/>
    <m/>
    <m/>
  </r>
  <r>
    <d v="2025-07-25T00:00:00"/>
    <s v="Paiement salaire du mois de Juillet 2025/FOUMBA Roderlin/3654404"/>
    <x v="3"/>
    <x v="2"/>
    <n v="200000"/>
    <n v="371.91713239989576"/>
    <n v="537.75419999999997"/>
    <x v="3"/>
    <s v="BQ-JU-R27"/>
    <s v="PALF"/>
    <s v="ELONGA"/>
    <s v="CONGO"/>
    <m/>
    <m/>
    <m/>
  </r>
  <r>
    <d v="2025-07-25T00:00:00"/>
    <s v="Paiement salaire du mois de Juillet 2025/BOUNGOU MAKOSSO Abraham/3654403"/>
    <x v="3"/>
    <x v="2"/>
    <n v="200000"/>
    <n v="371.91713239989576"/>
    <n v="537.75419999999997"/>
    <x v="3"/>
    <s v="BQ-JU-R28"/>
    <s v="PALF"/>
    <s v="ELONGA"/>
    <s v="CONGO"/>
    <m/>
    <m/>
    <m/>
  </r>
  <r>
    <d v="2025-07-25T00:00:00"/>
    <s v="Paiement salaire du mois de Juillet 2025/Crepin IBOUILI-IBOUILI"/>
    <x v="3"/>
    <x v="2"/>
    <n v="1037411"/>
    <n v="1929.1546212005412"/>
    <n v="537.75419999999997"/>
    <x v="3"/>
    <s v="BQ-JU-R29"/>
    <s v="PALF"/>
    <s v="ELONGA"/>
    <s v="CONGO"/>
    <m/>
    <m/>
    <m/>
  </r>
  <r>
    <d v="2025-07-25T00:00:00"/>
    <s v="Paiement salaire du mois de Juillet 2025/PINDI BINGA Donald- Roméo"/>
    <x v="3"/>
    <x v="2"/>
    <n v="300000"/>
    <n v="557.87569859984364"/>
    <n v="537.75419999999997"/>
    <x v="3"/>
    <s v="BQ-JU-R30"/>
    <s v="PALF"/>
    <s v="ELONGA"/>
    <s v="CONGO"/>
    <m/>
    <m/>
    <m/>
  </r>
  <r>
    <d v="2025-07-25T00:00:00"/>
    <s v="Paiement salaire du mois de  Juillet 2025/Evariste LELOUSSI"/>
    <x v="3"/>
    <x v="5"/>
    <n v="238140"/>
    <n v="442.84172954855586"/>
    <n v="537.75419999999997"/>
    <x v="3"/>
    <s v="BQ-JU-R31"/>
    <s v="PALF"/>
    <s v="ELONGA"/>
    <s v="CONGO"/>
    <m/>
    <m/>
    <m/>
  </r>
  <r>
    <d v="2025-07-25T00:00:00"/>
    <s v="Paiement salaire du mois de Juillet 2025/LOUNDOU JeanRomain/3654405"/>
    <x v="3"/>
    <x v="2"/>
    <n v="70968"/>
    <n v="131.971075260779"/>
    <n v="537.75419999999997"/>
    <x v="3"/>
    <s v="BQ-JU-R32"/>
    <s v="PALF"/>
    <s v="ELONGA"/>
    <s v="CONGO"/>
    <m/>
    <m/>
    <m/>
  </r>
  <r>
    <d v="2025-07-25T00:00:00"/>
    <s v="Frais de virement des salaire du mois Juillet 2025"/>
    <x v="8"/>
    <x v="1"/>
    <n v="10665"/>
    <n v="19.83248108522444"/>
    <n v="537.75419999999997"/>
    <x v="3"/>
    <s v="BQ-JU-R33"/>
    <s v="PALF"/>
    <s v="ELONGA"/>
    <s v="CONGO"/>
    <m/>
    <m/>
    <m/>
  </r>
  <r>
    <d v="2025-07-28T00:00:00"/>
    <s v="Maison-Bureau"/>
    <x v="0"/>
    <x v="0"/>
    <n v="1000"/>
    <n v="1.8595856619994786"/>
    <n v="537.75419999999997"/>
    <x v="0"/>
    <s v="DH-JU-D1"/>
    <s v="PALF"/>
    <s v="ELONGA"/>
    <s v="CONGO"/>
    <m/>
    <m/>
    <m/>
  </r>
  <r>
    <d v="2025-07-28T00:00:00"/>
    <s v="Bureau-Hyppocampe"/>
    <x v="0"/>
    <x v="0"/>
    <n v="1000"/>
    <n v="1.8595856619994786"/>
    <n v="537.75419999999997"/>
    <x v="0"/>
    <s v="DH-JU-D1"/>
    <s v="PALF"/>
    <s v="ELONGA"/>
    <s v="CONGO"/>
    <m/>
    <m/>
    <m/>
  </r>
  <r>
    <d v="2025-07-28T00:00:00"/>
    <s v="Aspinall-Bureau"/>
    <x v="0"/>
    <x v="0"/>
    <n v="1000"/>
    <n v="1.8595856619994786"/>
    <n v="537.75419999999997"/>
    <x v="0"/>
    <s v="DH-JU-D1"/>
    <s v="PALF"/>
    <s v="ELONGA"/>
    <s v="CONGO"/>
    <m/>
    <m/>
    <m/>
  </r>
  <r>
    <d v="2025-07-28T00:00:00"/>
    <s v="Bureau-Maison"/>
    <x v="0"/>
    <x v="0"/>
    <n v="1000"/>
    <n v="1.8595856619994786"/>
    <n v="537.75419999999997"/>
    <x v="0"/>
    <s v="DH-JU-D1"/>
    <s v="PALF"/>
    <s v="ELONGA"/>
    <s v="CONGO"/>
    <m/>
    <m/>
    <m/>
  </r>
  <r>
    <d v="2025-07-28T00:00:00"/>
    <s v="Frais de ramassage Ordure Juillet 2025"/>
    <x v="13"/>
    <x v="1"/>
    <n v="6000"/>
    <n v="11.157513971996872"/>
    <n v="537.75419999999997"/>
    <x v="1"/>
    <s v="CA-JU-R7"/>
    <s v="PALF"/>
    <s v="ELONGA"/>
    <s v="CONGO"/>
    <m/>
    <m/>
    <m/>
  </r>
  <r>
    <d v="2025-07-28T00:00:00"/>
    <s v=" Frais de prestation de nettoyage jardin PALF Juillet 2025"/>
    <x v="1"/>
    <x v="1"/>
    <n v="20000"/>
    <n v="37.191713239989575"/>
    <n v="537.75419999999997"/>
    <x v="1"/>
    <s v="CA-JU-R8"/>
    <s v="PALF"/>
    <s v="ELONGA"/>
    <s v="CONGO"/>
    <m/>
    <m/>
    <m/>
  </r>
  <r>
    <d v="2025-07-28T00:00:00"/>
    <s v="Reglement prestation de nettoyage  PALF du mois de Juillet 2025"/>
    <x v="1"/>
    <x v="1"/>
    <n v="75625"/>
    <n v="140.63116568871058"/>
    <n v="537.75419999999997"/>
    <x v="1"/>
    <s v="CA-JU-R9"/>
    <s v="PALF"/>
    <s v="ELONGA"/>
    <s v="CONGO"/>
    <m/>
    <m/>
    <m/>
  </r>
  <r>
    <d v="2025-07-28T00:00:00"/>
    <s v="Achat de 05 ampoule à crochet"/>
    <x v="4"/>
    <x v="1"/>
    <n v="12500"/>
    <n v="23.244820774993485"/>
    <n v="537.75419999999997"/>
    <x v="1"/>
    <s v="CA-JU-R10"/>
    <s v="PALF"/>
    <s v="ELONGA"/>
    <s v="CONGO"/>
    <m/>
    <m/>
    <m/>
  </r>
  <r>
    <d v="2025-07-28T00:00:00"/>
    <s v="Taxi bureau-Section de Recherches"/>
    <x v="10"/>
    <x v="2"/>
    <n v="1000"/>
    <n v="1.8595856619994786"/>
    <n v="537.75419999999997"/>
    <x v="6"/>
    <s v="DR-JU-D2"/>
    <s v="PALF"/>
    <s v="ELONGA"/>
    <s v="CONGO"/>
    <m/>
    <m/>
    <m/>
  </r>
  <r>
    <d v="2025-07-28T00:00:00"/>
    <s v="Taxi Section de Recherches-bureau"/>
    <x v="10"/>
    <x v="2"/>
    <n v="1000"/>
    <n v="1.8595856619994786"/>
    <n v="537.75419999999997"/>
    <x v="6"/>
    <s v="DR-JU-D2"/>
    <s v="PALF"/>
    <s v="ELONGA"/>
    <s v="CONGO"/>
    <m/>
    <m/>
    <m/>
  </r>
  <r>
    <d v="2025-07-28T00:00:00"/>
    <s v="Taxi, Bureau PALF-Les Dépêches de Brazzaville"/>
    <x v="0"/>
    <x v="5"/>
    <n v="1000"/>
    <n v="1.8595856619994786"/>
    <n v="537.75419999999997"/>
    <x v="7"/>
    <s v="EV-JU-D1"/>
    <s v="PALF"/>
    <s v="ELONGA"/>
    <s v="CONGO"/>
    <m/>
    <m/>
    <m/>
  </r>
  <r>
    <d v="2025-07-28T00:00:00"/>
    <s v="Taxi, Les Dépêches de Brazzaville-Radio Citoyenne des Jeunes"/>
    <x v="0"/>
    <x v="5"/>
    <n v="1000"/>
    <n v="1.8595856619994786"/>
    <n v="537.75419999999997"/>
    <x v="7"/>
    <s v="EV-JU-D1"/>
    <s v="PALF"/>
    <s v="ELONGA"/>
    <s v="CONGO"/>
    <m/>
    <m/>
    <m/>
  </r>
  <r>
    <d v="2025-07-28T00:00:00"/>
    <s v="Bonus media portant sur la condamnation ferme de 03 trafiquants de produits de la faune le 26 Juin 2025 à Impfondo pièces presse Internet"/>
    <x v="14"/>
    <x v="5"/>
    <n v="66000"/>
    <n v="122.7326536919656"/>
    <n v="537.75419999999997"/>
    <x v="7"/>
    <s v="CA-JU-D2"/>
    <s v="PALF"/>
    <s v="ELONGA"/>
    <s v="CONGO"/>
    <m/>
    <m/>
    <m/>
  </r>
  <r>
    <d v="2025-07-28T00:00:00"/>
    <s v="Bonus media portant sur la condamnation ferme de 03 trafiquants de produits de la faune le 26 Juin 2025 à Impfondo pieces presse papier(les depêches de brazzaville, l'horizion africain, l'agence congolaise de l'information"/>
    <x v="14"/>
    <x v="5"/>
    <n v="30000"/>
    <n v="55.787569859984359"/>
    <n v="537.75419999999997"/>
    <x v="7"/>
    <s v="CA-JU-D3"/>
    <s v="PALF"/>
    <s v="ELONGA"/>
    <s v="CONGO"/>
    <m/>
    <m/>
    <m/>
  </r>
  <r>
    <d v="2025-07-28T00:00:00"/>
    <s v="Bonus media portant sur la condamnation ferme de 03 trafiquants de produits de la faune le 26 Juin 2025 à Impfondo presse Radio citoyenne des jeunes"/>
    <x v="14"/>
    <x v="5"/>
    <n v="6000"/>
    <n v="11.157513971996872"/>
    <n v="537.75419999999997"/>
    <x v="7"/>
    <s v="CA-JU-D4"/>
    <s v="PALF"/>
    <s v="ELONGA"/>
    <s v="CONGO"/>
    <m/>
    <m/>
    <m/>
  </r>
  <r>
    <d v="2025-07-28T00:00:00"/>
    <s v="Taxi: Bureau-marché Total/ à la rencontre de maître Hélène"/>
    <x v="0"/>
    <x v="2"/>
    <n v="1000"/>
    <n v="1.8595856619994786"/>
    <n v="537.75419999999997"/>
    <x v="8"/>
    <s v="RM-JU-D1"/>
    <s v="PALF"/>
    <s v="ELONGA"/>
    <s v="CONGO"/>
    <m/>
    <m/>
    <m/>
  </r>
  <r>
    <d v="2025-07-28T00:00:00"/>
    <s v="Taxi: Marché Total-Domicile"/>
    <x v="0"/>
    <x v="2"/>
    <n v="1000"/>
    <n v="1.8595856619994786"/>
    <n v="537.75419999999997"/>
    <x v="8"/>
    <s v="RM-JU-D1"/>
    <s v="PALF"/>
    <s v="ELONGA"/>
    <s v="CONGO"/>
    <m/>
    <m/>
    <m/>
  </r>
  <r>
    <d v="2025-07-28T00:00:00"/>
    <s v="Solde honoraire contrat N°76_Owando cas EBI Aimé brichly/Maitre Marie Hélène NANITELAMIO MALONGA/ 3654408"/>
    <x v="2"/>
    <x v="2"/>
    <n v="300000"/>
    <n v="557.87569859984364"/>
    <n v="537.75419999999997"/>
    <x v="3"/>
    <s v="BQ-JU-R34"/>
    <s v="PALF"/>
    <s v="ELONGA"/>
    <s v="CONGO"/>
    <m/>
    <m/>
    <m/>
  </r>
  <r>
    <d v="2025-07-29T00:00:00"/>
    <s v="Maison-Bureau"/>
    <x v="0"/>
    <x v="0"/>
    <n v="1000"/>
    <n v="1.8595856619994786"/>
    <n v="537.75419999999997"/>
    <x v="0"/>
    <s v="DH-JU-D1"/>
    <s v="PALF"/>
    <s v="ELONGA"/>
    <s v="CONGO"/>
    <m/>
    <m/>
    <m/>
  </r>
  <r>
    <d v="2025-07-29T00:00:00"/>
    <s v="Bureau-Maison"/>
    <x v="0"/>
    <x v="0"/>
    <n v="1000"/>
    <n v="1.8595856619994786"/>
    <n v="537.75419999999997"/>
    <x v="0"/>
    <s v="DH-JU-D1"/>
    <s v="PALF"/>
    <s v="ELONGA"/>
    <s v="CONGO"/>
    <m/>
    <m/>
    <m/>
  </r>
  <r>
    <d v="2025-07-29T00:00:00"/>
    <s v="Taxi: Bureau -Marché / Achat des Ampoules bureau PALF"/>
    <x v="0"/>
    <x v="1"/>
    <n v="1000"/>
    <n v="1.8595856619994786"/>
    <n v="537.75419999999997"/>
    <x v="1"/>
    <s v="P-JU-D1"/>
    <s v="PALF"/>
    <s v="ELONGA"/>
    <s v="CONGO"/>
    <m/>
    <m/>
    <m/>
  </r>
  <r>
    <d v="2025-07-29T00:00:00"/>
    <s v="Taxi: Marché  - Bureau/ Achat de Ampoules bureau PALF"/>
    <x v="0"/>
    <x v="1"/>
    <n v="1000"/>
    <n v="1.8595856619994786"/>
    <n v="537.75419999999997"/>
    <x v="1"/>
    <s v="P-JU-D1"/>
    <s v="PALF"/>
    <s v="ELONGA"/>
    <s v="CONGO"/>
    <m/>
    <m/>
    <m/>
  </r>
  <r>
    <d v="2025-07-29T00:00:00"/>
    <s v="Frais de notification affaire de merveille/ Maître OKEMBA NGABOMBA"/>
    <x v="2"/>
    <x v="2"/>
    <n v="115000"/>
    <n v="213.85235112994005"/>
    <n v="537.75419999999997"/>
    <x v="1"/>
    <s v="CA-JU-R11"/>
    <s v="PALF"/>
    <s v="ELONGA"/>
    <s v="CONGO"/>
    <m/>
    <m/>
    <m/>
  </r>
  <r>
    <d v="2025-07-29T00:00:00"/>
    <s v="Achat encre HP Laser noir et couleur 216A"/>
    <x v="4"/>
    <x v="1"/>
    <n v="300000"/>
    <n v="557.87569859984364"/>
    <n v="537.75419999999997"/>
    <x v="1"/>
    <s v="CA-JU-R12"/>
    <s v="PALF"/>
    <s v="ELONGA"/>
    <s v="CONGO"/>
    <m/>
    <m/>
    <m/>
  </r>
  <r>
    <d v="2025-07-29T00:00:00"/>
    <s v="Achat eau mineral 16 LITRES/Bureau"/>
    <x v="4"/>
    <x v="1"/>
    <n v="25000"/>
    <n v="46.48964154998697"/>
    <n v="537.75419999999997"/>
    <x v="5"/>
    <s v="CA-JU-R13"/>
    <s v="PALF"/>
    <s v="ELONGA"/>
    <s v="CONGO"/>
    <m/>
    <m/>
    <m/>
  </r>
  <r>
    <d v="2025-07-29T00:00:00"/>
    <s v="Taxi, groupecongomedias.com-panoramik-atu.com"/>
    <x v="0"/>
    <x v="5"/>
    <n v="1000"/>
    <n v="1.8595856619994786"/>
    <n v="537.75419999999997"/>
    <x v="7"/>
    <s v="EV-JU-D1"/>
    <s v="PALF"/>
    <s v="ELONGA"/>
    <s v="CONGO"/>
    <m/>
    <m/>
    <m/>
  </r>
  <r>
    <d v="2025-07-29T00:00:00"/>
    <s v="Taxi, panoramik-actu.com-tribune-eco.com"/>
    <x v="0"/>
    <x v="5"/>
    <n v="1000"/>
    <n v="1.8595856619994786"/>
    <n v="537.75419999999997"/>
    <x v="7"/>
    <s v="EV-JU-D1"/>
    <s v="PALF"/>
    <s v="ELONGA"/>
    <s v="CONGO"/>
    <m/>
    <m/>
    <m/>
  </r>
  <r>
    <d v="2025-07-29T00:00:00"/>
    <s v="Taxi, tribune-eco.com-firstmediac.com"/>
    <x v="0"/>
    <x v="5"/>
    <n v="1000"/>
    <n v="1.8595856619994786"/>
    <n v="537.75419999999997"/>
    <x v="7"/>
    <s v="EV-JU-D1"/>
    <s v="PALF"/>
    <s v="ELONGA"/>
    <s v="CONGO"/>
    <m/>
    <m/>
    <m/>
  </r>
  <r>
    <d v="2025-07-29T00:00:00"/>
    <s v="Taxi, firstmediac.com-lesechos-congobrazza.com"/>
    <x v="0"/>
    <x v="5"/>
    <n v="1000"/>
    <n v="1.8595856619994786"/>
    <n v="537.75419999999997"/>
    <x v="7"/>
    <s v="EV-JU-D1"/>
    <s v="PALF"/>
    <s v="ELONGA"/>
    <s v="CONGO"/>
    <m/>
    <m/>
    <m/>
  </r>
  <r>
    <d v="2025-07-29T00:00:00"/>
    <s v="Taxi, lesechos-congobrazza.com-Agence Congolaise de l'Information"/>
    <x v="0"/>
    <x v="5"/>
    <n v="1000"/>
    <n v="1.8595856619994786"/>
    <n v="537.75419999999997"/>
    <x v="7"/>
    <s v="EV-JU-D1"/>
    <s v="PALF"/>
    <s v="ELONGA"/>
    <s v="CONGO"/>
    <m/>
    <m/>
    <m/>
  </r>
  <r>
    <d v="2025-07-29T00:00:00"/>
    <s v="Taxi, Agence Congolaise de l'Information-opinionpublique.cg"/>
    <x v="0"/>
    <x v="5"/>
    <n v="1000"/>
    <n v="1.8595856619994786"/>
    <n v="537.75419999999997"/>
    <x v="7"/>
    <s v="EV-JU-D1"/>
    <s v="PALF"/>
    <s v="ELONGA"/>
    <s v="CONGO"/>
    <m/>
    <m/>
    <m/>
  </r>
  <r>
    <d v="2025-07-29T00:00:00"/>
    <s v="Taxi, opinionpublique.cg-Bureau PALF"/>
    <x v="0"/>
    <x v="5"/>
    <n v="1000"/>
    <n v="1.8595856619994786"/>
    <n v="537.75419999999997"/>
    <x v="7"/>
    <s v="EV-JU-D1"/>
    <s v="PALF"/>
    <s v="ELONGA"/>
    <s v="CONGO"/>
    <m/>
    <m/>
    <m/>
  </r>
  <r>
    <d v="2025-07-30T00:00:00"/>
    <s v="Maison-Bureau"/>
    <x v="0"/>
    <x v="0"/>
    <n v="1000"/>
    <n v="1.8595856619994786"/>
    <n v="537.75419999999997"/>
    <x v="0"/>
    <s v="DH-JU-D1"/>
    <s v="PALF"/>
    <s v="ELONGA"/>
    <s v="CONGO"/>
    <m/>
    <m/>
    <m/>
  </r>
  <r>
    <d v="2025-07-30T00:00:00"/>
    <s v="Bureau-Maison"/>
    <x v="0"/>
    <x v="0"/>
    <n v="1000"/>
    <n v="1.8595856619994786"/>
    <n v="537.75419999999997"/>
    <x v="0"/>
    <s v="DH-JU-D1"/>
    <s v="PALF"/>
    <s v="ELONGA"/>
    <s v="CONGO"/>
    <m/>
    <m/>
    <m/>
  </r>
  <r>
    <d v="2025-07-30T00:00:00"/>
    <s v="Taxi:Bureau- Direction Canal Box/ Paiement internet du mois de Juin 2025"/>
    <x v="0"/>
    <x v="1"/>
    <n v="1000"/>
    <n v="1.8595856619994786"/>
    <n v="537.75419999999997"/>
    <x v="1"/>
    <s v="P-JU-D1"/>
    <s v="PALF"/>
    <s v="ELONGA"/>
    <s v="CONGO"/>
    <m/>
    <m/>
    <m/>
  </r>
  <r>
    <d v="2025-07-30T00:00:00"/>
    <s v="Taxi: Direction Canal Box-Bureau/ Paiement internet du mois de Juin 2025"/>
    <x v="0"/>
    <x v="1"/>
    <n v="1000"/>
    <n v="1.8595856619994786"/>
    <n v="537.75419999999997"/>
    <x v="1"/>
    <s v="P-JU-D1"/>
    <s v="PALF"/>
    <s v="ELONGA"/>
    <s v="CONGO"/>
    <m/>
    <m/>
    <m/>
  </r>
  <r>
    <d v="2025-07-30T00:00:00"/>
    <s v="Reglement facture internet periode du 01/08 au 31/08/2025 bureau PALF"/>
    <x v="15"/>
    <x v="1"/>
    <n v="45050"/>
    <n v="83.774334073076517"/>
    <n v="537.75419999999997"/>
    <x v="1"/>
    <s v="CA-JU-R14"/>
    <s v="PALF"/>
    <s v="ELONGA"/>
    <s v="CONGO"/>
    <m/>
    <m/>
    <m/>
  </r>
  <r>
    <d v="2025-07-30T00:00:00"/>
    <s v="Reglement honoraire du mois de de Juin 2025/P29/3654409"/>
    <x v="3"/>
    <x v="3"/>
    <n v="370000"/>
    <n v="688.04669493980714"/>
    <n v="537.75419999999997"/>
    <x v="3"/>
    <s v="BQ-JU-R35"/>
    <s v="PALF"/>
    <s v="ELONGA"/>
    <s v="CONGO"/>
    <m/>
    <m/>
    <m/>
  </r>
  <r>
    <d v="2025-07-30T00:00:00"/>
    <s v="Reglement honoraire du mois de Juin 2025/T73/3654410"/>
    <x v="16"/>
    <x v="3"/>
    <n v="225000"/>
    <n v="418.40677394988268"/>
    <n v="537.75419999999997"/>
    <x v="3"/>
    <s v="BQ-JU-R36"/>
    <s v="PALF"/>
    <s v="ELONGA"/>
    <s v="CONGO"/>
    <m/>
    <m/>
    <m/>
  </r>
  <r>
    <d v="2025-07-31T00:00:00"/>
    <s v="Maison-Bureau"/>
    <x v="0"/>
    <x v="0"/>
    <n v="1000"/>
    <n v="1.8595856619994786"/>
    <n v="537.75419999999997"/>
    <x v="0"/>
    <s v="DH-JU-D1"/>
    <s v="PALF"/>
    <s v="ELONGA"/>
    <s v="CONGO"/>
    <m/>
    <m/>
    <m/>
  </r>
  <r>
    <d v="2025-07-31T00:00:00"/>
    <s v="Bureau-Maison"/>
    <x v="0"/>
    <x v="0"/>
    <n v="1000"/>
    <n v="1.8595856619994786"/>
    <n v="537.75419999999997"/>
    <x v="0"/>
    <s v="DH-JU-D1"/>
    <s v="PALF"/>
    <s v="ELONGA"/>
    <s v="CONGO"/>
    <m/>
    <m/>
    <m/>
  </r>
  <r>
    <d v="2025-07-31T00:00:00"/>
    <s v="Taxi:  Bureau- Direction MTN/Achat crédits  departement legal/ Romain; Roderlin et Abraham"/>
    <x v="0"/>
    <x v="1"/>
    <n v="1000"/>
    <n v="1.8595856619994786"/>
    <n v="537.75419999999997"/>
    <x v="1"/>
    <s v="P-JU-D1"/>
    <s v="PALF"/>
    <s v="ELONGA"/>
    <s v="CONGO"/>
    <m/>
    <m/>
    <m/>
  </r>
  <r>
    <d v="2025-07-31T00:00:00"/>
    <s v="Taxi:   Direction MTN- Domicile/Achat crédits  departement Legal/Romain, Roderlin et Abraham"/>
    <x v="0"/>
    <x v="1"/>
    <n v="1000"/>
    <n v="1.8595856619994786"/>
    <n v="537.75419999999997"/>
    <x v="1"/>
    <s v="P-JU-D1"/>
    <s v="PALF"/>
    <s v="ELONGA"/>
    <s v="CONGO"/>
    <m/>
    <m/>
    <m/>
  </r>
  <r>
    <d v="2025-07-31T00:00:00"/>
    <s v="Credit teléphonique MTN PALF/ du 01 au 08 Août 2025/ Abraham"/>
    <x v="9"/>
    <x v="2"/>
    <n v="5000"/>
    <n v="9.2979283099973937"/>
    <n v="537.75419999999997"/>
    <x v="5"/>
    <s v="AB-JU-R1"/>
    <s v="PALF"/>
    <s v="ELONGA"/>
    <s v="CONGO"/>
    <m/>
    <m/>
    <m/>
  </r>
  <r>
    <d v="2025-07-31T00:00:00"/>
    <s v="Credit teléphonique MTN PALF du 01 au 08 Août 2025 /Roderlin"/>
    <x v="9"/>
    <x v="2"/>
    <n v="5000"/>
    <n v="9.2979283099973937"/>
    <n v="537.75419999999997"/>
    <x v="2"/>
    <s v="RO-JU-R1"/>
    <s v="PALF"/>
    <s v="ELONGA"/>
    <s v="CONGO"/>
    <m/>
    <m/>
    <m/>
  </r>
  <r>
    <d v="2025-07-31T00:00:00"/>
    <s v="Taxi:Bureau-TGI pour le suivi d'audience "/>
    <x v="0"/>
    <x v="2"/>
    <n v="1000"/>
    <n v="1.8595856619994786"/>
    <n v="537.75419999999997"/>
    <x v="2"/>
    <s v="RO-JU-D1"/>
    <s v="PALF"/>
    <s v="ELONGA"/>
    <s v="CONGO"/>
    <m/>
    <m/>
    <m/>
  </r>
  <r>
    <d v="2025-07-31T00:00:00"/>
    <s v="Taxii:TGI-Bureau"/>
    <x v="0"/>
    <x v="2"/>
    <n v="1000"/>
    <n v="1.8595856619994786"/>
    <n v="537.75419999999997"/>
    <x v="2"/>
    <s v="RO-JU-D1"/>
    <s v="PALF"/>
    <s v="ELONGA"/>
    <s v="CONGO"/>
    <m/>
    <m/>
    <m/>
  </r>
  <r>
    <d v="2025-07-31T00:00:00"/>
    <s v="Credit teléphonique MTN PALF/du 01au 08 Août  2025/Romain"/>
    <x v="9"/>
    <x v="2"/>
    <n v="5000"/>
    <n v="9.2979283099973937"/>
    <n v="537.75419999999997"/>
    <x v="8"/>
    <s v="RM-JU-R1"/>
    <s v="PALF"/>
    <s v="ELONGA"/>
    <s v="CONGO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3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C12" firstHeaderRow="1" firstDataRow="1" firstDataCol="1"/>
  <pivotFields count="15"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0">
        <item x="5"/>
        <item x="3"/>
        <item x="4"/>
        <item x="6"/>
        <item x="0"/>
        <item x="7"/>
        <item x="1"/>
        <item x="2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omme de Spent  in XAF" fld="4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2" cacheId="1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D15" firstHeaderRow="0" firstDataRow="1" firstDataCol="1"/>
  <pivotFields count="10">
    <pivotField numFmtId="14" showAll="0"/>
    <pivotField showAll="0"/>
    <pivotField showAll="0"/>
    <pivotField showAll="0"/>
    <pivotField dataField="1" showAll="0"/>
    <pivotField dataField="1" showAll="0"/>
    <pivotField numFmtId="168" showAll="0"/>
    <pivotField axis="axisRow" showAll="0">
      <items count="16">
        <item x="6"/>
        <item x="8"/>
        <item m="1" x="12"/>
        <item x="7"/>
        <item x="9"/>
        <item x="3"/>
        <item x="11"/>
        <item m="1" x="14"/>
        <item x="5"/>
        <item x="1"/>
        <item x="4"/>
        <item x="2"/>
        <item m="1" x="13"/>
        <item x="10"/>
        <item x="0"/>
        <item t="default"/>
      </items>
    </pivotField>
    <pivotField showAll="0"/>
    <pivotField showAll="0"/>
  </pivotFields>
  <rowFields count="1">
    <field x="7"/>
  </rowFields>
  <rowItems count="13">
    <i>
      <x/>
    </i>
    <i>
      <x v="1"/>
    </i>
    <i>
      <x v="3"/>
    </i>
    <i>
      <x v="4"/>
    </i>
    <i>
      <x v="5"/>
    </i>
    <i>
      <x v="6"/>
    </i>
    <i>
      <x v="8"/>
    </i>
    <i>
      <x v="9"/>
    </i>
    <i>
      <x v="10"/>
    </i>
    <i>
      <x v="11"/>
    </i>
    <i>
      <x v="13"/>
    </i>
    <i>
      <x v="14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Spent " fld="4" baseField="7" baseItem="0"/>
    <dataField name="Somme de Received" fld="5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eau croisé dynamique3" cacheId="3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T10" firstHeaderRow="1" firstDataRow="2" firstDataCol="1"/>
  <pivotFields count="15">
    <pivotField showAll="0"/>
    <pivotField showAll="0"/>
    <pivotField axis="axisCol" showAll="0">
      <items count="18">
        <item x="8"/>
        <item x="14"/>
        <item x="7"/>
        <item x="15"/>
        <item x="2"/>
        <item x="4"/>
        <item x="3"/>
        <item x="6"/>
        <item x="13"/>
        <item x="1"/>
        <item x="9"/>
        <item x="12"/>
        <item x="0"/>
        <item x="10"/>
        <item x="5"/>
        <item x="11"/>
        <item x="16"/>
        <item t="default"/>
      </items>
    </pivotField>
    <pivotField axis="axisRow" showAll="0">
      <items count="8">
        <item x="3"/>
        <item x="2"/>
        <item x="0"/>
        <item x="5"/>
        <item x="1"/>
        <item m="1" x="6"/>
        <item x="4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6"/>
    </i>
    <i t="grand">
      <x/>
    </i>
  </rowItems>
  <colFields count="1">
    <field x="2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dataFields count="1">
    <dataField name="Somme de Spent  in XAF" fld="4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eau croisé dynamique2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K3:O28" firstHeaderRow="0" firstDataRow="1" firstDataCol="1"/>
  <pivotFields count="16"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axis="axisRow" showAll="0">
      <items count="8">
        <item x="6"/>
        <item x="1"/>
        <item x="3"/>
        <item x="2"/>
        <item x="4"/>
        <item x="0"/>
        <item x="5"/>
        <item t="default"/>
      </items>
    </pivotField>
    <pivotField showAll="0"/>
    <pivotField dataField="1" showAll="0"/>
    <pivotField dataField="1" showAll="0"/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3">
    <field x="10"/>
    <field x="15"/>
    <field x="0"/>
  </rowFields>
  <rowItems count="25">
    <i>
      <x/>
    </i>
    <i r="1">
      <x v="7"/>
    </i>
    <i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 v="3"/>
    </i>
    <i r="1">
      <x v="4"/>
    </i>
    <i r="1">
      <x v="7"/>
    </i>
    <i>
      <x v="3"/>
    </i>
    <i r="1">
      <x v="2"/>
    </i>
    <i>
      <x v="4"/>
    </i>
    <i r="1">
      <x v="3"/>
    </i>
    <i>
      <x v="5"/>
    </i>
    <i r="1">
      <x v="1"/>
    </i>
    <i r="1">
      <x v="2"/>
    </i>
    <i>
      <x v="6"/>
    </i>
    <i r="1">
      <x v="4"/>
    </i>
    <i r="1">
      <x v="5"/>
    </i>
    <i r="1">
      <x v="6"/>
    </i>
    <i r="1">
      <x v="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Receved in XAF" fld="12" baseField="10" baseItem="5"/>
    <dataField name="Somme de Receved  $" fld="13" baseField="10" baseItem="5"/>
    <dataField name="Somme de Spent  in XAF" fld="4" baseField="10" baseItem="5"/>
    <dataField name="Somme de Spent in $" fld="5" baseField="10" baseItem="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G2:H10" firstHeaderRow="1" firstDataRow="1" firstDataCol="1"/>
  <pivotFields count="5">
    <pivotField numFmtId="14" showAll="0"/>
    <pivotField showAll="0"/>
    <pivotField dataField="1" showAll="0"/>
    <pivotField numFmtId="3" showAll="0"/>
    <pivotField axis="axisRow" showAll="0">
      <items count="15">
        <item x="4"/>
        <item m="1" x="8"/>
        <item m="1" x="12"/>
        <item x="3"/>
        <item x="1"/>
        <item m="1" x="7"/>
        <item m="1" x="13"/>
        <item m="1" x="11"/>
        <item m="1" x="9"/>
        <item x="2"/>
        <item x="6"/>
        <item x="5"/>
        <item m="1" x="10"/>
        <item x="0"/>
        <item t="default"/>
      </items>
    </pivotField>
  </pivotFields>
  <rowFields count="1">
    <field x="4"/>
  </rowFields>
  <rowItems count="8">
    <i>
      <x/>
    </i>
    <i>
      <x v="3"/>
    </i>
    <i>
      <x v="4"/>
    </i>
    <i>
      <x v="9"/>
    </i>
    <i>
      <x v="10"/>
    </i>
    <i>
      <x v="11"/>
    </i>
    <i>
      <x v="13"/>
    </i>
    <i t="grand">
      <x/>
    </i>
  </rowItems>
  <colItems count="1">
    <i/>
  </colItems>
  <dataFields count="1">
    <dataField name="Somme de distributed" fld="2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2" dT="2024-11-19T16:38:26.73" personId="{98584D5A-8469-40CB-92DE-DDEA7199F951}" id="{A12D1BC1-2A0A-4E82-995E-AE42C351895A}">
    <text>Link to the personal balance</text>
  </threadedComment>
  <threadedComment ref="D2" dT="2024-11-19T16:46:00.44" personId="{98584D5A-8469-40CB-92DE-DDEA7199F951}" id="{B9DA9024-4CA0-46CF-BCB7-17B9FFFC34E0}">
    <text>Link to the pivot table „Cash journal“</text>
  </threadedComment>
  <threadedComment ref="E2" dT="2024-11-19T16:46:19.39" personId="{98584D5A-8469-40CB-92DE-DDEA7199F951}" id="{62FAAB4B-6EAF-4972-9E02-C37D118F3FE1}">
    <text>Link to the pivot table „data“</text>
  </threadedComment>
  <threadedComment ref="H2" dT="2024-11-19T16:38:41.72" personId="{98584D5A-8469-40CB-92DE-DDEA7199F951}" id="{CD553CA5-AD13-43FC-A1F7-EF2DE5EF7A94}">
    <text>Link to the personal balance</text>
  </threadedComment>
  <threadedComment ref="I2" dT="2024-11-19T16:38:50.52" personId="{98584D5A-8469-40CB-92DE-DDEA7199F951}" id="{5991BF77-FCF5-4586-9875-1F89E2825A51}">
    <text>formula</text>
  </threadedComment>
  <threadedComment ref="C19" dT="2024-11-19T16:39:21.61" personId="{98584D5A-8469-40CB-92DE-DDEA7199F951}" id="{D10F2EAC-DC88-4867-AF3C-128AC3A279F6}">
    <text>Link to the bank journal</text>
  </threadedComment>
  <threadedComment ref="I19" dT="2024-11-19T16:39:34.22" personId="{98584D5A-8469-40CB-92DE-DDEA7199F951}" id="{E4BF8878-824E-43F9-ABC1-A73CD708EDCD}">
    <text>Link to the bank journal</text>
  </threadedComment>
  <threadedComment ref="C25" dT="2024-11-19T16:39:51.68" personId="{98584D5A-8469-40CB-92DE-DDEA7199F951}" id="{5E3CEF0F-AC62-41D5-A934-AC03EDB0B8D2}">
    <text>Link to the cash journal</text>
  </threadedComment>
  <threadedComment ref="H25" dT="2024-11-19T16:40:03.44" personId="{98584D5A-8469-40CB-92DE-DDEA7199F951}" id="{A6199460-FC62-44E6-AB78-D712E7363C57}">
    <text>Link to the cash journal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6" dT="2024-11-19T17:03:20.17" personId="{98584D5A-8469-40CB-92DE-DDEA7199F951}" id="{C1DF0F66-A833-40DC-8B4A-5A54471ED649}">
    <text>Adjust that according to your country</text>
  </threadedComment>
  <threadedComment ref="F23" dT="2024-11-19T17:02:43.89" personId="{98584D5A-8469-40CB-92DE-DDEA7199F951}" id="{F88D673A-DD35-4DCB-976B-8A96F322437E}">
    <text>Link to the cash journal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2"/>
  <sheetViews>
    <sheetView tabSelected="1" topLeftCell="A8" zoomScale="83" zoomScaleNormal="83" workbookViewId="0">
      <selection activeCell="I36" sqref="I36"/>
    </sheetView>
  </sheetViews>
  <sheetFormatPr baseColWidth="10" defaultColWidth="8.75" defaultRowHeight="14.25"/>
  <cols>
    <col min="1" max="10" width="17.375" customWidth="1"/>
    <col min="12" max="13" width="14.75" customWidth="1"/>
  </cols>
  <sheetData>
    <row r="1" spans="1:13" ht="38.25">
      <c r="A1" s="79" t="s">
        <v>10</v>
      </c>
      <c r="B1" s="80" t="s">
        <v>11</v>
      </c>
      <c r="C1" s="80" t="s">
        <v>2537</v>
      </c>
      <c r="D1" s="80" t="s">
        <v>12</v>
      </c>
      <c r="E1" s="81" t="s">
        <v>13</v>
      </c>
      <c r="F1" s="81"/>
      <c r="G1" s="81" t="s">
        <v>527</v>
      </c>
      <c r="H1" s="80" t="s">
        <v>2538</v>
      </c>
      <c r="I1" s="82" t="s">
        <v>14</v>
      </c>
      <c r="J1" s="5" t="s">
        <v>15</v>
      </c>
      <c r="L1" s="76" t="s">
        <v>1692</v>
      </c>
      <c r="M1" s="76"/>
    </row>
    <row r="2" spans="1:13">
      <c r="A2" s="134" t="s">
        <v>500</v>
      </c>
      <c r="B2" s="6" t="s">
        <v>119</v>
      </c>
      <c r="C2" s="7">
        <f>+'Personals balance Juillet 2025'!H4</f>
        <v>-69729</v>
      </c>
      <c r="D2" s="238">
        <f>GETPIVOTDATA("Somme de Spent ",'Individual received'!$B$2,"Name","DOVI")+M2</f>
        <v>170000</v>
      </c>
      <c r="E2" s="8">
        <f>+GETPIVOTDATA("Spent  in XAF",'Individual costs'!$B$2,"Name","DOVI")</f>
        <v>254625</v>
      </c>
      <c r="F2" s="8"/>
      <c r="G2" s="7">
        <f>+GETPIVOTDATA("Somme de Received",'Individual received'!$B$2,"Name","DOVI")</f>
        <v>0</v>
      </c>
      <c r="H2" s="9">
        <f>+'Personals balance Juillet 2025'!H70</f>
        <v>-154354</v>
      </c>
      <c r="I2" s="10">
        <f>C2+D2-E2+F2-G2</f>
        <v>-154354</v>
      </c>
      <c r="J2" s="11">
        <f>H2-I2</f>
        <v>0</v>
      </c>
      <c r="L2" s="134" t="s">
        <v>500</v>
      </c>
      <c r="M2" s="95">
        <f>+GETPIVOTDATA("distributed",'phone credit'!$G$2,"name","Dovi")</f>
        <v>20000</v>
      </c>
    </row>
    <row r="3" spans="1:13">
      <c r="A3" s="134" t="s">
        <v>203</v>
      </c>
      <c r="B3" s="6" t="s">
        <v>119</v>
      </c>
      <c r="C3" s="7">
        <f>+'Personals balance Juillet 2025'!H74</f>
        <v>55120</v>
      </c>
      <c r="D3" s="238">
        <f>GETPIVOTDATA("Somme de Spent ",'Individual received'!$B$2,"Name",)+M3</f>
        <v>0</v>
      </c>
      <c r="E3" s="8">
        <f>+GETPIVOTDATA("Spent  in XAF",'Individual costs'!$B$2,"Name","Crépin")</f>
        <v>11000</v>
      </c>
      <c r="F3" s="8"/>
      <c r="G3" s="7">
        <v>0</v>
      </c>
      <c r="H3" s="9">
        <f>+'Personals balance Juillet 2025'!H86</f>
        <v>44120</v>
      </c>
      <c r="I3" s="10">
        <f>C3+D3-E3+F3-G3</f>
        <v>44120</v>
      </c>
      <c r="J3" s="11">
        <f t="shared" ref="J3:J16" si="0">H3-I3</f>
        <v>0</v>
      </c>
      <c r="L3" s="134" t="s">
        <v>203</v>
      </c>
      <c r="M3" s="95">
        <f>+GETPIVOTDATA("distributed",'phone credit'!$G$2,"name",)</f>
        <v>0</v>
      </c>
    </row>
    <row r="4" spans="1:13">
      <c r="A4" s="134" t="s">
        <v>157</v>
      </c>
      <c r="B4" s="6" t="s">
        <v>118</v>
      </c>
      <c r="C4" s="7">
        <f>'Personals balance Juillet 2025'!H91</f>
        <v>0</v>
      </c>
      <c r="D4" s="238">
        <f>0+M4</f>
        <v>0</v>
      </c>
      <c r="E4" s="8">
        <v>0</v>
      </c>
      <c r="F4" s="8"/>
      <c r="G4" s="7">
        <v>0</v>
      </c>
      <c r="H4" s="9">
        <f>+'Personals balance Juillet 2025'!H92</f>
        <v>0</v>
      </c>
      <c r="I4" s="10">
        <f t="shared" ref="I4:I10" si="1">C4+D4-E4+F4-G4</f>
        <v>0</v>
      </c>
      <c r="J4" s="11">
        <f t="shared" si="0"/>
        <v>0</v>
      </c>
      <c r="L4" s="134" t="s">
        <v>157</v>
      </c>
      <c r="M4" s="76">
        <v>0</v>
      </c>
    </row>
    <row r="5" spans="1:13">
      <c r="A5" s="134" t="s">
        <v>643</v>
      </c>
      <c r="B5" s="6" t="s">
        <v>118</v>
      </c>
      <c r="C5" s="7">
        <f>+'Personals balance Juillet 2025'!H97</f>
        <v>12500</v>
      </c>
      <c r="D5" s="238">
        <f>GETPIVOTDATA("Somme de Spent ",'Individual received'!$B$2,"Name","Parfaite")+M5</f>
        <v>631149</v>
      </c>
      <c r="E5" s="8">
        <f>+GETPIVOTDATA("Spent  in XAF",'Individual costs'!$B$2,"Name","Parfaite")</f>
        <v>645149</v>
      </c>
      <c r="F5" s="8"/>
      <c r="G5" s="7">
        <f>+GETPIVOTDATA("Somme de Received",'Individual received'!$B$2,"Name","Parfaite")</f>
        <v>0</v>
      </c>
      <c r="H5" s="9">
        <f>+'Personals balance Juillet 2025'!H157</f>
        <v>-1500</v>
      </c>
      <c r="I5" s="10">
        <f>C5+D5-E5+F5-G5</f>
        <v>-1500</v>
      </c>
      <c r="J5" s="11">
        <f t="shared" si="0"/>
        <v>0</v>
      </c>
      <c r="L5" s="134" t="s">
        <v>643</v>
      </c>
      <c r="M5" s="95">
        <f>+GETPIVOTDATA("distributed",'phone credit'!$G$2,"name","Parfaite")</f>
        <v>5000</v>
      </c>
    </row>
    <row r="6" spans="1:13">
      <c r="A6" s="136" t="s">
        <v>501</v>
      </c>
      <c r="B6" s="137" t="s">
        <v>502</v>
      </c>
      <c r="C6" s="157">
        <v>233614</v>
      </c>
      <c r="D6" s="158"/>
      <c r="E6" s="158"/>
      <c r="F6" s="158"/>
      <c r="G6" s="157"/>
      <c r="H6" s="159">
        <v>233614</v>
      </c>
      <c r="I6" s="160">
        <f t="shared" si="1"/>
        <v>233614</v>
      </c>
      <c r="J6" s="11">
        <f t="shared" si="0"/>
        <v>0</v>
      </c>
      <c r="L6" s="136" t="s">
        <v>501</v>
      </c>
      <c r="M6" s="76"/>
    </row>
    <row r="7" spans="1:13">
      <c r="A7" s="136" t="s">
        <v>503</v>
      </c>
      <c r="B7" s="137" t="s">
        <v>502</v>
      </c>
      <c r="C7" s="157">
        <v>249769</v>
      </c>
      <c r="D7" s="158"/>
      <c r="E7" s="158"/>
      <c r="F7" s="158"/>
      <c r="G7" s="157"/>
      <c r="H7" s="159">
        <v>249769</v>
      </c>
      <c r="I7" s="160">
        <f t="shared" si="1"/>
        <v>249769</v>
      </c>
      <c r="J7" s="11">
        <f t="shared" si="0"/>
        <v>0</v>
      </c>
      <c r="L7" s="136" t="s">
        <v>503</v>
      </c>
      <c r="M7" s="76"/>
    </row>
    <row r="8" spans="1:13" ht="15">
      <c r="A8" s="135" t="s">
        <v>332</v>
      </c>
      <c r="B8" s="6" t="s">
        <v>502</v>
      </c>
      <c r="C8" s="7">
        <f>+'Personals balance Juillet 2025'!H177</f>
        <v>7300</v>
      </c>
      <c r="D8" s="238">
        <f>GETPIVOTDATA("Somme de Spent ",'Individual received'!$B$2,"Name",)+M8</f>
        <v>0</v>
      </c>
      <c r="E8" s="8">
        <v>0</v>
      </c>
      <c r="F8" s="8"/>
      <c r="G8" s="7">
        <v>0</v>
      </c>
      <c r="H8" s="9">
        <f>+'Personals balance Juillet 2025'!H178</f>
        <v>7300</v>
      </c>
      <c r="I8" s="10">
        <f t="shared" si="1"/>
        <v>7300</v>
      </c>
      <c r="J8" s="11">
        <f t="shared" si="0"/>
        <v>0</v>
      </c>
      <c r="L8" s="135" t="s">
        <v>332</v>
      </c>
      <c r="M8" s="95">
        <f>+GETPIVOTDATA("distributed",'phone credit'!$G$2,"name",)</f>
        <v>0</v>
      </c>
    </row>
    <row r="9" spans="1:13">
      <c r="A9" s="134" t="s">
        <v>187</v>
      </c>
      <c r="B9" s="6" t="s">
        <v>502</v>
      </c>
      <c r="C9" s="7">
        <f>+'Personals balance Juillet 2025'!H162</f>
        <v>246710</v>
      </c>
      <c r="D9" s="238">
        <f>GETPIVOTDATA("Somme de Spent ",'Individual received'!$B$2,"Name","P29")+M9</f>
        <v>0</v>
      </c>
      <c r="E9" s="8">
        <v>0</v>
      </c>
      <c r="F9" s="8"/>
      <c r="G9" s="7">
        <f>+GETPIVOTDATA("Somme de Received",'Individual received'!$B$2,"Name","P29")</f>
        <v>100000</v>
      </c>
      <c r="H9" s="9">
        <f>+'Personals balance Juillet 2025'!H165</f>
        <v>146710</v>
      </c>
      <c r="I9" s="10">
        <f t="shared" si="1"/>
        <v>146710</v>
      </c>
      <c r="J9" s="11">
        <f t="shared" si="0"/>
        <v>0</v>
      </c>
      <c r="L9" s="134" t="s">
        <v>187</v>
      </c>
      <c r="M9" s="95">
        <f>+GETPIVOTDATA("distributed",'phone credit'!$G$2,"name",)</f>
        <v>0</v>
      </c>
    </row>
    <row r="10" spans="1:13">
      <c r="A10" s="134" t="s">
        <v>176</v>
      </c>
      <c r="B10" s="6" t="s">
        <v>502</v>
      </c>
      <c r="C10" s="7">
        <f>+'Personals balance Juillet 2025'!H170</f>
        <v>157950</v>
      </c>
      <c r="D10" s="238">
        <f>GETPIVOTDATA("Somme de Spent ",'Individual received'!$B$2,"Name","T73")+M10</f>
        <v>0</v>
      </c>
      <c r="E10" s="8">
        <v>0</v>
      </c>
      <c r="F10" s="8"/>
      <c r="G10" s="7">
        <f>+GETPIVOTDATA("Somme de Received",'Individual received'!$B$2,"Name","T73")</f>
        <v>50000</v>
      </c>
      <c r="H10" s="9">
        <f>+'Personals balance Juillet 2025'!H172</f>
        <v>107950</v>
      </c>
      <c r="I10" s="10">
        <f t="shared" si="1"/>
        <v>107950</v>
      </c>
      <c r="J10" s="11">
        <f t="shared" si="0"/>
        <v>0</v>
      </c>
      <c r="L10" s="134" t="s">
        <v>176</v>
      </c>
      <c r="M10" s="95">
        <f>+GETPIVOTDATA("distributed",'phone credit'!$G$2,"name",)</f>
        <v>0</v>
      </c>
    </row>
    <row r="11" spans="1:13">
      <c r="A11" s="130" t="s">
        <v>343</v>
      </c>
      <c r="B11" s="236" t="s">
        <v>502</v>
      </c>
      <c r="C11" s="237">
        <f>+'Personals balance Juillet 2025'!H183</f>
        <v>14050</v>
      </c>
      <c r="D11" s="238">
        <f>GETPIVOTDATA("Somme de Spent ",'Individual received'!$B$2,"Name","G12")+M11</f>
        <v>0</v>
      </c>
      <c r="E11" s="238">
        <v>0</v>
      </c>
      <c r="F11" s="238"/>
      <c r="G11" s="237">
        <f>+GETPIVOTDATA("Somme de Received",'Individual received'!$B$2,"Name","G12")</f>
        <v>14050</v>
      </c>
      <c r="H11" s="239">
        <f>+'Personals balance Juillet 2025'!H185</f>
        <v>0</v>
      </c>
      <c r="I11" s="240">
        <f t="shared" ref="I11:I16" si="2">C11+D11-E11+F11-G11</f>
        <v>0</v>
      </c>
      <c r="J11" s="11">
        <f t="shared" si="0"/>
        <v>0</v>
      </c>
      <c r="L11" s="76" t="s">
        <v>343</v>
      </c>
      <c r="M11" s="95">
        <f>+GETPIVOTDATA("distributed",'phone credit'!$G$2,"name",)</f>
        <v>0</v>
      </c>
    </row>
    <row r="12" spans="1:13">
      <c r="A12" s="241" t="s">
        <v>190</v>
      </c>
      <c r="B12" s="236" t="s">
        <v>117</v>
      </c>
      <c r="C12" s="242">
        <f>+'Personals balance Juillet 2025'!H281</f>
        <v>2047</v>
      </c>
      <c r="D12" s="238">
        <f>GETPIVOTDATA("Somme de Spent ",'Individual received'!$B$2,"Name",)+M12</f>
        <v>5000</v>
      </c>
      <c r="E12" s="243">
        <f>+GETPIVOTDATA("Spent  in XAF",'Individual costs'!$B$2,"Name","Romain")</f>
        <v>7000</v>
      </c>
      <c r="F12" s="130"/>
      <c r="G12" s="130">
        <f>+GETPIVOTDATA("Somme de Received",'Individual received'!$B$2,"Name",)</f>
        <v>0</v>
      </c>
      <c r="H12" s="242">
        <f>+'Personals balance Juillet 2025'!H286</f>
        <v>47</v>
      </c>
      <c r="I12" s="240">
        <f t="shared" si="2"/>
        <v>47</v>
      </c>
      <c r="J12" s="11">
        <f t="shared" si="0"/>
        <v>0</v>
      </c>
      <c r="L12" s="134" t="s">
        <v>190</v>
      </c>
      <c r="M12" s="95">
        <f>+GETPIVOTDATA("distributed",'phone credit'!$G$2,"name","Romain")</f>
        <v>5000</v>
      </c>
    </row>
    <row r="13" spans="1:13">
      <c r="A13" s="134" t="s">
        <v>497</v>
      </c>
      <c r="B13" s="6" t="s">
        <v>117</v>
      </c>
      <c r="C13" s="12">
        <f>+'Personals balance Juillet 2025'!H231</f>
        <v>7680</v>
      </c>
      <c r="D13" s="242">
        <f>GETPIVOTDATA("Somme de Spent ",'Individual received'!$B$2,"Name","Donald-Roméo")+M13</f>
        <v>75000</v>
      </c>
      <c r="E13" s="13">
        <f>+GETPIVOTDATA("Spent  in XAF",'Individual costs'!$B$2,"Name","Donald-Romeo")</f>
        <v>77500</v>
      </c>
      <c r="F13" s="76"/>
      <c r="G13" s="125">
        <f>+GETPIVOTDATA("Somme de Received",'Individual received'!$B$2,"Name","Donald-Roméo")</f>
        <v>0</v>
      </c>
      <c r="H13" s="126">
        <f>+'Personals balance Juillet 2025'!H251</f>
        <v>5180</v>
      </c>
      <c r="I13" s="10">
        <f t="shared" si="2"/>
        <v>5180</v>
      </c>
      <c r="J13" s="11">
        <f t="shared" si="0"/>
        <v>0</v>
      </c>
      <c r="L13" s="134" t="s">
        <v>497</v>
      </c>
      <c r="M13" s="95">
        <f>+GETPIVOTDATA("distributed",'phone credit'!$G$2,"name","Donald-Roméo")</f>
        <v>5000</v>
      </c>
    </row>
    <row r="14" spans="1:13">
      <c r="A14" s="134" t="s">
        <v>193</v>
      </c>
      <c r="B14" s="6" t="s">
        <v>117</v>
      </c>
      <c r="C14" s="12">
        <f>+'Personals balance Juillet 2025'!H189</f>
        <v>9950</v>
      </c>
      <c r="D14" s="242">
        <f>GETPIVOTDATA("Somme de Spent ",'Individual received'!$B$2,"Name","Abraham")+M14</f>
        <v>71250</v>
      </c>
      <c r="E14" s="13">
        <f>+GETPIVOTDATA("Spent  in XAF",'Individual costs'!$B$2,"Name","Abraham")</f>
        <v>71250</v>
      </c>
      <c r="F14" s="76"/>
      <c r="G14" s="125">
        <f>+GETPIVOTDATA("Somme de Received",'Individual received'!$B$2,"Name","Abraham")</f>
        <v>0</v>
      </c>
      <c r="H14" s="126">
        <f>+'Personals balance Juillet 2025'!H203</f>
        <v>9950</v>
      </c>
      <c r="I14" s="10">
        <f t="shared" si="2"/>
        <v>9950</v>
      </c>
      <c r="J14" s="11">
        <f t="shared" si="0"/>
        <v>0</v>
      </c>
      <c r="L14" s="134" t="s">
        <v>193</v>
      </c>
      <c r="M14" s="95">
        <f>+GETPIVOTDATA("distributed",'phone credit'!$G$2,"name","Abraham")</f>
        <v>5000</v>
      </c>
    </row>
    <row r="15" spans="1:13">
      <c r="A15" s="134" t="s">
        <v>196</v>
      </c>
      <c r="B15" s="6" t="s">
        <v>117</v>
      </c>
      <c r="C15" s="12">
        <f>+'Personals balance Juillet 2025'!H209</f>
        <v>-6100</v>
      </c>
      <c r="D15" s="242">
        <f>GETPIVOTDATA("Somme de Spent ",'Individual received'!$B$2,"Name","Roderlin")+M15</f>
        <v>63250</v>
      </c>
      <c r="E15" s="13">
        <f>+GETPIVOTDATA("Spent  in XAF",'Individual costs'!$B$2,"Name","Roderlin")</f>
        <v>51250</v>
      </c>
      <c r="F15" s="76"/>
      <c r="G15" s="125">
        <f>+GETPIVOTDATA("Somme de Received",'Individual received'!$B$2,"Name","Roderlin")</f>
        <v>0</v>
      </c>
      <c r="H15" s="126">
        <f>+'Personals balance Juillet 2025'!H227</f>
        <v>5900</v>
      </c>
      <c r="I15" s="10">
        <f t="shared" si="2"/>
        <v>5900</v>
      </c>
      <c r="J15" s="11">
        <f t="shared" si="0"/>
        <v>0</v>
      </c>
      <c r="L15" s="134" t="s">
        <v>196</v>
      </c>
      <c r="M15" s="95">
        <f>+GETPIVOTDATA("distributed",'phone credit'!$G$2,"name","Roderlin")</f>
        <v>5000</v>
      </c>
    </row>
    <row r="16" spans="1:13">
      <c r="A16" s="134" t="s">
        <v>217</v>
      </c>
      <c r="B16" s="6" t="s">
        <v>120</v>
      </c>
      <c r="C16" s="12">
        <f>+'Personals balance Juillet 2025'!H255</f>
        <v>3050</v>
      </c>
      <c r="D16" s="242">
        <f>GETPIVOTDATA("Somme de Spent ",'Individual received'!$B$2,"Name","Evariste")+M16</f>
        <v>162000</v>
      </c>
      <c r="E16" s="13">
        <f>+GETPIVOTDATA("Spent  in XAF",'Individual costs'!$B$2,"Name","Evariste")</f>
        <v>112000</v>
      </c>
      <c r="F16" s="76"/>
      <c r="G16" s="125">
        <f>+GETPIVOTDATA("Somme de Received",'Individual received'!$B$2,"Name","Evariste")</f>
        <v>50000</v>
      </c>
      <c r="H16" s="126">
        <f>'Personals balance Juillet 2025'!H275</f>
        <v>3050</v>
      </c>
      <c r="I16" s="10">
        <f t="shared" si="2"/>
        <v>3050</v>
      </c>
      <c r="J16" s="11">
        <f t="shared" si="0"/>
        <v>0</v>
      </c>
      <c r="L16" s="134" t="s">
        <v>217</v>
      </c>
      <c r="M16" s="95">
        <f>+GETPIVOTDATA("distributed",'phone credit'!$G$2,"name",)</f>
        <v>0</v>
      </c>
    </row>
    <row r="17" spans="1:13">
      <c r="A17" s="14" t="s">
        <v>18</v>
      </c>
      <c r="B17" s="15"/>
      <c r="C17" s="16">
        <f t="shared" ref="C17:I17" si="3">SUM(C2:C16)</f>
        <v>923911</v>
      </c>
      <c r="D17" s="16">
        <f t="shared" si="3"/>
        <v>1177649</v>
      </c>
      <c r="E17" s="16">
        <f t="shared" si="3"/>
        <v>1229774</v>
      </c>
      <c r="F17" s="16">
        <f t="shared" si="3"/>
        <v>0</v>
      </c>
      <c r="G17" s="16">
        <f t="shared" si="3"/>
        <v>214050</v>
      </c>
      <c r="H17" s="16">
        <f t="shared" si="3"/>
        <v>657736</v>
      </c>
      <c r="I17" s="16">
        <f t="shared" si="3"/>
        <v>657736</v>
      </c>
      <c r="J17" s="17">
        <f>H17-I17</f>
        <v>0</v>
      </c>
      <c r="M17" s="71">
        <f>SUM(M2:M16)</f>
        <v>45000</v>
      </c>
    </row>
    <row r="18" spans="1:13">
      <c r="A18" s="18"/>
      <c r="B18" s="19"/>
      <c r="C18" s="20"/>
      <c r="D18" s="21"/>
      <c r="E18" s="21"/>
      <c r="F18" s="77" t="s">
        <v>16</v>
      </c>
      <c r="G18" s="78" t="s">
        <v>17</v>
      </c>
      <c r="H18" s="20"/>
      <c r="I18" s="22"/>
      <c r="J18" s="11"/>
    </row>
    <row r="19" spans="1:13">
      <c r="A19" s="23" t="s">
        <v>28</v>
      </c>
      <c r="B19" s="24"/>
      <c r="C19" s="25">
        <f>+'Bank journal'!H2</f>
        <v>1636236</v>
      </c>
      <c r="D19" s="26">
        <f>+'DATA Juillet2025'!M120+'DATA Juillet2025'!M49</f>
        <v>10719923</v>
      </c>
      <c r="E19" s="25">
        <f>+GETPIVOTDATA("Spent  in XAF",'Individual costs'!$B$2,"Name","BCI")</f>
        <v>9900525</v>
      </c>
      <c r="F19" s="25"/>
      <c r="G19" s="25">
        <f>+GETPIVOTDATA("Somme de Received",'Individual received'!$B$2,"Name","BCI")</f>
        <v>950000</v>
      </c>
      <c r="H19" s="26">
        <f>+'Bank reconciliation'!D91</f>
        <v>1505634</v>
      </c>
      <c r="I19" s="27">
        <f>C19+D19-E19+F19-G19</f>
        <v>1505634</v>
      </c>
      <c r="J19" s="11">
        <f>H19-I19</f>
        <v>0</v>
      </c>
    </row>
    <row r="20" spans="1:13">
      <c r="A20" s="83" t="s">
        <v>19</v>
      </c>
      <c r="B20" s="84"/>
      <c r="C20" s="84">
        <f t="shared" ref="C20:I20" si="4">SUM(C19:C19)</f>
        <v>1636236</v>
      </c>
      <c r="D20" s="84">
        <f t="shared" si="4"/>
        <v>10719923</v>
      </c>
      <c r="E20" s="84">
        <f t="shared" si="4"/>
        <v>9900525</v>
      </c>
      <c r="F20" s="84">
        <f t="shared" si="4"/>
        <v>0</v>
      </c>
      <c r="G20" s="84">
        <f t="shared" si="4"/>
        <v>950000</v>
      </c>
      <c r="H20" s="84">
        <f t="shared" si="4"/>
        <v>1505634</v>
      </c>
      <c r="I20" s="85">
        <f t="shared" si="4"/>
        <v>1505634</v>
      </c>
      <c r="J20" s="17">
        <f>H20-I20</f>
        <v>0</v>
      </c>
    </row>
    <row r="21" spans="1:13">
      <c r="A21" s="28" t="s">
        <v>20</v>
      </c>
      <c r="B21" s="29"/>
      <c r="C21" s="29"/>
      <c r="D21" s="30"/>
      <c r="E21" s="31"/>
      <c r="F21" s="29"/>
      <c r="G21" s="29"/>
      <c r="H21" s="29"/>
      <c r="I21" s="32"/>
      <c r="J21" s="33"/>
    </row>
    <row r="22" spans="1:13" ht="15" thickBot="1">
      <c r="A22" s="34"/>
      <c r="B22" s="35"/>
      <c r="C22" s="35"/>
      <c r="D22" s="35"/>
      <c r="E22" s="35"/>
      <c r="F22" s="35"/>
      <c r="G22" s="35"/>
      <c r="H22" s="35"/>
      <c r="I22" s="36"/>
      <c r="J22" s="11"/>
    </row>
    <row r="23" spans="1:13" ht="15" thickBot="1">
      <c r="A23" s="37" t="s">
        <v>21</v>
      </c>
      <c r="B23" s="38"/>
      <c r="C23" s="38"/>
      <c r="D23" s="38"/>
      <c r="E23" s="38">
        <f>E17+E20</f>
        <v>11130299</v>
      </c>
      <c r="F23" s="38"/>
      <c r="G23" s="38"/>
      <c r="H23" s="38"/>
      <c r="I23" s="39"/>
      <c r="J23" s="40"/>
    </row>
    <row r="24" spans="1:13">
      <c r="A24" s="41"/>
      <c r="B24" s="42"/>
      <c r="C24" s="42"/>
      <c r="D24" s="42"/>
      <c r="E24" s="42"/>
      <c r="F24" s="42"/>
      <c r="G24" s="42"/>
      <c r="H24" s="42"/>
      <c r="I24" s="43"/>
      <c r="J24" s="11"/>
    </row>
    <row r="25" spans="1:13">
      <c r="A25" s="44" t="s">
        <v>22</v>
      </c>
      <c r="B25" s="45"/>
      <c r="C25" s="46">
        <f>'Cash journal'!G2</f>
        <v>85969</v>
      </c>
      <c r="D25" s="47">
        <f>GETPIVOTDATA("Somme de Received",'Individual received'!$B$2)</f>
        <v>1164050</v>
      </c>
      <c r="E25" s="47">
        <f>GETPIVOTDATA("Somme de Spent ",'Individual received'!$B$2)</f>
        <v>1177649</v>
      </c>
      <c r="F25" s="47"/>
      <c r="G25" s="47"/>
      <c r="H25" s="47">
        <f>'Cash journal'!G39</f>
        <v>72370</v>
      </c>
      <c r="I25" s="48">
        <f>C25+D25-E25+F25</f>
        <v>72370</v>
      </c>
      <c r="J25" s="11">
        <f>H25-I25</f>
        <v>0</v>
      </c>
    </row>
    <row r="26" spans="1:13" ht="15" thickBot="1">
      <c r="A26" s="49"/>
      <c r="B26" s="50"/>
      <c r="C26" s="50"/>
      <c r="D26" s="50"/>
      <c r="E26" s="50"/>
      <c r="F26" s="50"/>
      <c r="G26" s="50"/>
      <c r="H26" s="50"/>
      <c r="I26" s="50"/>
      <c r="J26" s="51"/>
    </row>
    <row r="27" spans="1:13" ht="15.75">
      <c r="A27" s="52"/>
      <c r="B27" s="53"/>
      <c r="C27" s="54"/>
      <c r="D27" s="497" t="s">
        <v>23</v>
      </c>
      <c r="E27" s="497"/>
      <c r="F27" s="54"/>
      <c r="G27" s="54"/>
      <c r="H27" s="54"/>
      <c r="I27" s="55"/>
      <c r="J27" s="56"/>
    </row>
    <row r="28" spans="1:13" ht="47.25">
      <c r="A28" s="57"/>
      <c r="B28" s="58"/>
      <c r="C28" s="59" t="s">
        <v>2633</v>
      </c>
      <c r="D28" s="59" t="s">
        <v>31</v>
      </c>
      <c r="E28" s="59" t="s">
        <v>24</v>
      </c>
      <c r="F28" s="59"/>
      <c r="G28" s="59"/>
      <c r="H28" s="59" t="s">
        <v>2634</v>
      </c>
      <c r="I28" s="59" t="s">
        <v>25</v>
      </c>
      <c r="J28" s="60" t="s">
        <v>26</v>
      </c>
    </row>
    <row r="29" spans="1:13" ht="16.5" thickBot="1">
      <c r="A29" s="61" t="s">
        <v>27</v>
      </c>
      <c r="B29" s="62"/>
      <c r="C29" s="63">
        <f>C25+C20+C17</f>
        <v>2646116</v>
      </c>
      <c r="D29" s="63">
        <f>+D20</f>
        <v>10719923</v>
      </c>
      <c r="E29" s="63">
        <f>E23</f>
        <v>11130299</v>
      </c>
      <c r="F29" s="64"/>
      <c r="G29" s="63"/>
      <c r="H29" s="63">
        <f>+H25+H20+H17</f>
        <v>2235740</v>
      </c>
      <c r="I29" s="63">
        <f>C29+D29-E29</f>
        <v>2235740</v>
      </c>
      <c r="J29" s="65">
        <f>H29-I29</f>
        <v>0</v>
      </c>
    </row>
    <row r="31" spans="1:13">
      <c r="F31" s="164"/>
    </row>
    <row r="32" spans="1:13">
      <c r="F32" s="164"/>
    </row>
  </sheetData>
  <mergeCells count="1">
    <mergeCell ref="D27:E27"/>
  </mergeCells>
  <phoneticPr fontId="28" type="noConversion"/>
  <pageMargins left="0.7" right="0.7" top="0.78740157499999996" bottom="0.78740157499999996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G31"/>
  <sheetViews>
    <sheetView workbookViewId="0">
      <selection activeCell="F2" sqref="F2"/>
    </sheetView>
  </sheetViews>
  <sheetFormatPr baseColWidth="10" defaultColWidth="8.75" defaultRowHeight="14.25"/>
  <cols>
    <col min="1" max="1" width="2.75" customWidth="1"/>
    <col min="2" max="2" width="15.125" customWidth="1"/>
    <col min="3" max="3" width="11.125" style="71" customWidth="1"/>
    <col min="4" max="4" width="11.125" style="97" customWidth="1"/>
    <col min="5" max="5" width="11.125" customWidth="1"/>
    <col min="6" max="6" width="14.75" customWidth="1"/>
  </cols>
  <sheetData>
    <row r="1" spans="2:6">
      <c r="B1" t="s">
        <v>68</v>
      </c>
      <c r="C1" s="71" t="s">
        <v>98</v>
      </c>
    </row>
    <row r="2" spans="2:6">
      <c r="B2" t="s">
        <v>69</v>
      </c>
      <c r="C2" s="71" t="s">
        <v>2646</v>
      </c>
    </row>
    <row r="3" spans="2:6">
      <c r="B3" t="s">
        <v>70</v>
      </c>
      <c r="C3" s="150">
        <v>2025</v>
      </c>
    </row>
    <row r="4" spans="2:6">
      <c r="C4"/>
    </row>
    <row r="5" spans="2:6" ht="15">
      <c r="B5" s="91" t="s">
        <v>58</v>
      </c>
      <c r="C5" s="95"/>
      <c r="D5" s="96"/>
      <c r="E5" s="76"/>
      <c r="F5" s="76"/>
    </row>
    <row r="6" spans="2:6" ht="15">
      <c r="B6" s="91"/>
      <c r="C6" s="95" t="s">
        <v>64</v>
      </c>
      <c r="D6" s="96"/>
      <c r="E6" s="76" t="s">
        <v>65</v>
      </c>
      <c r="F6" s="76"/>
    </row>
    <row r="7" spans="2:6">
      <c r="B7" s="76"/>
      <c r="C7" s="95">
        <v>10000</v>
      </c>
      <c r="D7" s="96" t="s">
        <v>59</v>
      </c>
      <c r="E7" s="76">
        <v>7</v>
      </c>
      <c r="F7" s="92">
        <f>C7*E7</f>
        <v>70000</v>
      </c>
    </row>
    <row r="8" spans="2:6">
      <c r="B8" s="76"/>
      <c r="C8" s="95">
        <v>5000</v>
      </c>
      <c r="D8" s="96" t="s">
        <v>59</v>
      </c>
      <c r="E8" s="76">
        <v>0</v>
      </c>
      <c r="F8" s="92">
        <f>C8*E8</f>
        <v>0</v>
      </c>
    </row>
    <row r="9" spans="2:6">
      <c r="B9" s="76"/>
      <c r="C9" s="95">
        <v>2000</v>
      </c>
      <c r="D9" s="96" t="s">
        <v>59</v>
      </c>
      <c r="E9" s="76">
        <v>1</v>
      </c>
      <c r="F9" s="92">
        <f>C9*E9</f>
        <v>2000</v>
      </c>
    </row>
    <row r="10" spans="2:6">
      <c r="B10" s="76"/>
      <c r="C10" s="95">
        <v>1000</v>
      </c>
      <c r="D10" s="96" t="s">
        <v>59</v>
      </c>
      <c r="E10" s="76">
        <v>0</v>
      </c>
      <c r="F10" s="92">
        <f>C10*E10</f>
        <v>0</v>
      </c>
    </row>
    <row r="11" spans="2:6">
      <c r="B11" s="76"/>
      <c r="C11" s="95">
        <v>500</v>
      </c>
      <c r="D11" s="96" t="s">
        <v>59</v>
      </c>
      <c r="E11" s="76">
        <v>0</v>
      </c>
      <c r="F11" s="92">
        <f>C11*E11</f>
        <v>0</v>
      </c>
    </row>
    <row r="12" spans="2:6">
      <c r="B12" s="76"/>
      <c r="C12" s="95"/>
      <c r="D12" s="96"/>
      <c r="E12" s="76"/>
      <c r="F12" s="76"/>
    </row>
    <row r="13" spans="2:6" ht="15">
      <c r="B13" s="93" t="s">
        <v>60</v>
      </c>
      <c r="C13" s="95"/>
      <c r="D13" s="96"/>
      <c r="E13" s="76"/>
      <c r="F13" s="76"/>
    </row>
    <row r="14" spans="2:6">
      <c r="B14" s="76"/>
      <c r="C14" s="95">
        <v>500</v>
      </c>
      <c r="D14" s="96" t="s">
        <v>59</v>
      </c>
      <c r="E14" s="76">
        <v>0</v>
      </c>
      <c r="F14" s="76">
        <f t="shared" ref="F14:F19" si="0">C14*E14</f>
        <v>0</v>
      </c>
    </row>
    <row r="15" spans="2:6">
      <c r="B15" s="76"/>
      <c r="C15" s="95">
        <v>100</v>
      </c>
      <c r="D15" s="96" t="s">
        <v>59</v>
      </c>
      <c r="E15" s="76">
        <v>3</v>
      </c>
      <c r="F15" s="76">
        <f t="shared" si="0"/>
        <v>300</v>
      </c>
    </row>
    <row r="16" spans="2:6">
      <c r="B16" s="76"/>
      <c r="C16" s="95">
        <v>50</v>
      </c>
      <c r="D16" s="96" t="s">
        <v>59</v>
      </c>
      <c r="E16" s="76">
        <v>1</v>
      </c>
      <c r="F16" s="76">
        <f t="shared" si="0"/>
        <v>50</v>
      </c>
    </row>
    <row r="17" spans="2:7">
      <c r="B17" s="76"/>
      <c r="C17" s="95">
        <v>25</v>
      </c>
      <c r="D17" s="96" t="s">
        <v>59</v>
      </c>
      <c r="E17" s="76">
        <v>1</v>
      </c>
      <c r="F17" s="76">
        <f t="shared" si="0"/>
        <v>25</v>
      </c>
    </row>
    <row r="18" spans="2:7">
      <c r="B18" s="76"/>
      <c r="C18" s="95">
        <v>10</v>
      </c>
      <c r="D18" s="96" t="s">
        <v>59</v>
      </c>
      <c r="E18" s="76">
        <v>0</v>
      </c>
      <c r="F18" s="76">
        <f t="shared" si="0"/>
        <v>0</v>
      </c>
    </row>
    <row r="19" spans="2:7">
      <c r="B19" s="76"/>
      <c r="C19" s="95">
        <v>5</v>
      </c>
      <c r="D19" s="96" t="s">
        <v>59</v>
      </c>
      <c r="E19" s="76">
        <v>0</v>
      </c>
      <c r="F19" s="76">
        <f t="shared" si="0"/>
        <v>0</v>
      </c>
    </row>
    <row r="20" spans="2:7" ht="15">
      <c r="B20" s="76"/>
      <c r="C20" s="95"/>
      <c r="D20" s="96"/>
      <c r="E20" s="76"/>
      <c r="F20" s="94">
        <f>SUM(F7:F19)</f>
        <v>72375</v>
      </c>
    </row>
    <row r="21" spans="2:7" ht="15">
      <c r="B21" s="76"/>
      <c r="C21" s="95"/>
      <c r="D21" s="96"/>
      <c r="E21" s="76"/>
      <c r="F21" s="91"/>
    </row>
    <row r="22" spans="2:7" ht="15">
      <c r="B22" s="76" t="s">
        <v>61</v>
      </c>
      <c r="C22" s="95"/>
      <c r="D22" s="96"/>
      <c r="E22" s="76"/>
      <c r="F22" s="94">
        <f>F20</f>
        <v>72375</v>
      </c>
    </row>
    <row r="23" spans="2:7" ht="15">
      <c r="B23" s="76" t="s">
        <v>62</v>
      </c>
      <c r="C23" s="95"/>
      <c r="D23" s="96"/>
      <c r="E23" s="76"/>
      <c r="F23" s="94">
        <f>+'Cash journal'!G39</f>
        <v>72370</v>
      </c>
    </row>
    <row r="24" spans="2:7">
      <c r="B24" s="76" t="s">
        <v>63</v>
      </c>
      <c r="C24" s="95"/>
      <c r="D24" s="96"/>
      <c r="E24" s="76"/>
      <c r="F24" s="92">
        <f>+F22-F23</f>
        <v>5</v>
      </c>
    </row>
    <row r="26" spans="2:7">
      <c r="B26" t="s">
        <v>1600</v>
      </c>
    </row>
    <row r="28" spans="2:7">
      <c r="B28" t="s">
        <v>66</v>
      </c>
      <c r="F28" t="s">
        <v>67</v>
      </c>
    </row>
    <row r="31" spans="2:7" ht="15">
      <c r="B31" s="90" t="s">
        <v>2142</v>
      </c>
      <c r="C31" s="154"/>
      <c r="D31" s="155"/>
      <c r="E31" s="153"/>
      <c r="F31" s="156" t="s">
        <v>531</v>
      </c>
      <c r="G31" s="153"/>
    </row>
  </sheetData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373"/>
  <sheetViews>
    <sheetView workbookViewId="0">
      <pane ySplit="181" topLeftCell="A1358" activePane="bottomLeft" state="frozen"/>
      <selection pane="bottomLeft" activeCell="C1379" sqref="C1379"/>
    </sheetView>
  </sheetViews>
  <sheetFormatPr baseColWidth="10" defaultColWidth="9.125" defaultRowHeight="15"/>
  <cols>
    <col min="1" max="1" width="13.875" style="298" customWidth="1"/>
    <col min="2" max="2" width="47" style="298" customWidth="1"/>
    <col min="3" max="10" width="13.875" style="298" customWidth="1"/>
    <col min="11" max="11" width="10.75" style="298" customWidth="1"/>
    <col min="12" max="15" width="13.875" style="298" customWidth="1"/>
    <col min="16" max="16384" width="9.125" style="298"/>
  </cols>
  <sheetData>
    <row r="1" spans="1:15" ht="30">
      <c r="A1" s="268" t="s">
        <v>0</v>
      </c>
      <c r="B1" s="1" t="s">
        <v>1</v>
      </c>
      <c r="C1" s="1" t="s">
        <v>2</v>
      </c>
      <c r="D1" s="1" t="s">
        <v>3</v>
      </c>
      <c r="E1" s="70" t="s">
        <v>150</v>
      </c>
      <c r="F1" s="72" t="s">
        <v>4</v>
      </c>
      <c r="G1" s="2" t="s">
        <v>5</v>
      </c>
      <c r="H1" s="3" t="s">
        <v>10</v>
      </c>
      <c r="I1" s="3" t="s">
        <v>6</v>
      </c>
      <c r="J1" s="3" t="s">
        <v>7</v>
      </c>
      <c r="K1" s="4" t="s">
        <v>8</v>
      </c>
      <c r="L1" s="3" t="s">
        <v>9</v>
      </c>
      <c r="M1" s="70" t="s">
        <v>149</v>
      </c>
      <c r="N1" s="70" t="s">
        <v>528</v>
      </c>
      <c r="O1" s="3" t="s">
        <v>71</v>
      </c>
    </row>
    <row r="2" spans="1:15" hidden="1">
      <c r="A2" s="269">
        <v>45659</v>
      </c>
      <c r="B2" s="270" t="s">
        <v>151</v>
      </c>
      <c r="C2" s="270" t="s">
        <v>152</v>
      </c>
      <c r="D2" s="271" t="s">
        <v>119</v>
      </c>
      <c r="E2" s="272">
        <v>20000</v>
      </c>
      <c r="F2" s="272">
        <v>35.074489446962986</v>
      </c>
      <c r="G2" s="273">
        <v>570.21500000000003</v>
      </c>
      <c r="H2" s="274" t="s">
        <v>153</v>
      </c>
      <c r="I2" s="274" t="s">
        <v>154</v>
      </c>
      <c r="J2" s="274" t="s">
        <v>98</v>
      </c>
      <c r="K2" s="275" t="s">
        <v>2149</v>
      </c>
      <c r="L2" s="274" t="s">
        <v>2341</v>
      </c>
      <c r="M2" s="270"/>
      <c r="N2" s="270"/>
      <c r="O2" s="270"/>
    </row>
    <row r="3" spans="1:15" hidden="1">
      <c r="A3" s="269">
        <v>45659</v>
      </c>
      <c r="B3" s="270" t="s">
        <v>156</v>
      </c>
      <c r="C3" s="270" t="s">
        <v>152</v>
      </c>
      <c r="D3" s="270" t="s">
        <v>118</v>
      </c>
      <c r="E3" s="272">
        <v>21000</v>
      </c>
      <c r="F3" s="272">
        <v>36.828213919311132</v>
      </c>
      <c r="G3" s="273">
        <v>570.21500000000003</v>
      </c>
      <c r="H3" s="274" t="s">
        <v>157</v>
      </c>
      <c r="I3" s="274" t="s">
        <v>158</v>
      </c>
      <c r="J3" s="274" t="s">
        <v>98</v>
      </c>
      <c r="K3" s="275" t="s">
        <v>2149</v>
      </c>
      <c r="L3" s="274" t="s">
        <v>2341</v>
      </c>
      <c r="M3" s="270"/>
      <c r="N3" s="270"/>
      <c r="O3" s="270"/>
    </row>
    <row r="4" spans="1:15" hidden="1">
      <c r="A4" s="269">
        <v>45659</v>
      </c>
      <c r="B4" s="270" t="s">
        <v>159</v>
      </c>
      <c r="C4" s="270" t="s">
        <v>152</v>
      </c>
      <c r="D4" s="271" t="s">
        <v>117</v>
      </c>
      <c r="E4" s="272">
        <v>95000</v>
      </c>
      <c r="F4" s="272">
        <v>166.60382487307419</v>
      </c>
      <c r="G4" s="273">
        <v>570.21500000000003</v>
      </c>
      <c r="H4" s="274" t="s">
        <v>157</v>
      </c>
      <c r="I4" s="274" t="s">
        <v>160</v>
      </c>
      <c r="J4" s="274" t="s">
        <v>98</v>
      </c>
      <c r="K4" s="275" t="s">
        <v>2149</v>
      </c>
      <c r="L4" s="274" t="s">
        <v>2341</v>
      </c>
      <c r="M4" s="270"/>
      <c r="N4" s="270"/>
      <c r="O4" s="270"/>
    </row>
    <row r="5" spans="1:15" hidden="1">
      <c r="A5" s="269">
        <v>45659</v>
      </c>
      <c r="B5" s="270" t="s">
        <v>161</v>
      </c>
      <c r="C5" s="270" t="s">
        <v>152</v>
      </c>
      <c r="D5" s="271" t="s">
        <v>502</v>
      </c>
      <c r="E5" s="272">
        <v>88000</v>
      </c>
      <c r="F5" s="272">
        <v>154.32775356663714</v>
      </c>
      <c r="G5" s="273">
        <v>570.21500000000003</v>
      </c>
      <c r="H5" s="274" t="s">
        <v>157</v>
      </c>
      <c r="I5" s="274" t="s">
        <v>162</v>
      </c>
      <c r="J5" s="274" t="s">
        <v>98</v>
      </c>
      <c r="K5" s="275" t="s">
        <v>2149</v>
      </c>
      <c r="L5" s="274" t="s">
        <v>2341</v>
      </c>
      <c r="M5" s="270"/>
      <c r="N5" s="270"/>
      <c r="O5" s="270"/>
    </row>
    <row r="6" spans="1:15" hidden="1">
      <c r="A6" s="269">
        <v>45659</v>
      </c>
      <c r="B6" s="270" t="s">
        <v>163</v>
      </c>
      <c r="C6" s="270" t="s">
        <v>152</v>
      </c>
      <c r="D6" s="270" t="s">
        <v>120</v>
      </c>
      <c r="E6" s="272">
        <v>10000</v>
      </c>
      <c r="F6" s="272">
        <v>17.537244723481493</v>
      </c>
      <c r="G6" s="273">
        <v>570.21500000000003</v>
      </c>
      <c r="H6" s="274" t="s">
        <v>157</v>
      </c>
      <c r="I6" s="274" t="s">
        <v>164</v>
      </c>
      <c r="J6" s="274" t="s">
        <v>98</v>
      </c>
      <c r="K6" s="275" t="s">
        <v>2149</v>
      </c>
      <c r="L6" s="274" t="s">
        <v>2341</v>
      </c>
      <c r="M6" s="270"/>
      <c r="N6" s="270"/>
      <c r="O6" s="270"/>
    </row>
    <row r="7" spans="1:15" hidden="1">
      <c r="A7" s="269">
        <v>45659</v>
      </c>
      <c r="B7" s="270" t="s">
        <v>165</v>
      </c>
      <c r="C7" s="270" t="s">
        <v>152</v>
      </c>
      <c r="D7" s="271" t="s">
        <v>117</v>
      </c>
      <c r="E7" s="272">
        <v>10000</v>
      </c>
      <c r="F7" s="272">
        <v>17.537244723481493</v>
      </c>
      <c r="G7" s="273">
        <v>570.21500000000003</v>
      </c>
      <c r="H7" s="274" t="s">
        <v>157</v>
      </c>
      <c r="I7" s="274" t="s">
        <v>166</v>
      </c>
      <c r="J7" s="274" t="s">
        <v>98</v>
      </c>
      <c r="K7" s="275" t="s">
        <v>2149</v>
      </c>
      <c r="L7" s="274" t="s">
        <v>2341</v>
      </c>
      <c r="M7" s="270"/>
      <c r="N7" s="270"/>
      <c r="O7" s="270"/>
    </row>
    <row r="8" spans="1:15" hidden="1">
      <c r="A8" s="269">
        <v>45659</v>
      </c>
      <c r="B8" s="270" t="s">
        <v>167</v>
      </c>
      <c r="C8" s="270" t="s">
        <v>152</v>
      </c>
      <c r="D8" s="271" t="s">
        <v>502</v>
      </c>
      <c r="E8" s="272">
        <v>16000</v>
      </c>
      <c r="F8" s="272">
        <v>28.059591557570389</v>
      </c>
      <c r="G8" s="273">
        <v>570.21500000000003</v>
      </c>
      <c r="H8" s="274" t="s">
        <v>157</v>
      </c>
      <c r="I8" s="274" t="s">
        <v>168</v>
      </c>
      <c r="J8" s="274" t="s">
        <v>98</v>
      </c>
      <c r="K8" s="275" t="s">
        <v>2149</v>
      </c>
      <c r="L8" s="274" t="s">
        <v>2341</v>
      </c>
      <c r="M8" s="270"/>
      <c r="N8" s="270"/>
      <c r="O8" s="270"/>
    </row>
    <row r="9" spans="1:15" hidden="1">
      <c r="A9" s="269">
        <v>45659</v>
      </c>
      <c r="B9" s="270" t="s">
        <v>169</v>
      </c>
      <c r="C9" s="270" t="s">
        <v>152</v>
      </c>
      <c r="D9" s="270" t="s">
        <v>120</v>
      </c>
      <c r="E9" s="272">
        <v>11000</v>
      </c>
      <c r="F9" s="272">
        <v>19.290969195829643</v>
      </c>
      <c r="G9" s="273">
        <v>570.21500000000003</v>
      </c>
      <c r="H9" s="274" t="s">
        <v>157</v>
      </c>
      <c r="I9" s="274" t="s">
        <v>170</v>
      </c>
      <c r="J9" s="274" t="s">
        <v>98</v>
      </c>
      <c r="K9" s="275" t="s">
        <v>2149</v>
      </c>
      <c r="L9" s="274" t="s">
        <v>2341</v>
      </c>
      <c r="M9" s="270"/>
      <c r="N9" s="270"/>
      <c r="O9" s="270"/>
    </row>
    <row r="10" spans="1:15" hidden="1">
      <c r="A10" s="269">
        <v>45660</v>
      </c>
      <c r="B10" s="270" t="s">
        <v>171</v>
      </c>
      <c r="C10" s="276" t="s">
        <v>1321</v>
      </c>
      <c r="D10" s="270" t="s">
        <v>118</v>
      </c>
      <c r="E10" s="272">
        <v>25000</v>
      </c>
      <c r="F10" s="272">
        <v>43.843111808703732</v>
      </c>
      <c r="G10" s="273">
        <v>570.21500000000003</v>
      </c>
      <c r="H10" s="274" t="s">
        <v>157</v>
      </c>
      <c r="I10" s="274" t="s">
        <v>173</v>
      </c>
      <c r="J10" s="274" t="s">
        <v>98</v>
      </c>
      <c r="K10" s="275" t="s">
        <v>2149</v>
      </c>
      <c r="L10" s="274" t="s">
        <v>2341</v>
      </c>
      <c r="M10" s="270"/>
      <c r="N10" s="270"/>
      <c r="O10" s="270"/>
    </row>
    <row r="11" spans="1:15" hidden="1">
      <c r="A11" s="269">
        <v>45663</v>
      </c>
      <c r="B11" s="270" t="s">
        <v>101</v>
      </c>
      <c r="C11" s="270" t="s">
        <v>123</v>
      </c>
      <c r="D11" s="271" t="s">
        <v>117</v>
      </c>
      <c r="E11" s="272">
        <v>300000</v>
      </c>
      <c r="F11" s="272">
        <v>526.11734170444481</v>
      </c>
      <c r="G11" s="273">
        <v>570.21500000000003</v>
      </c>
      <c r="H11" s="274" t="s">
        <v>148</v>
      </c>
      <c r="I11" s="274" t="s">
        <v>129</v>
      </c>
      <c r="J11" s="274" t="s">
        <v>98</v>
      </c>
      <c r="K11" s="275" t="s">
        <v>2149</v>
      </c>
      <c r="L11" s="274" t="s">
        <v>2341</v>
      </c>
      <c r="M11" s="270"/>
      <c r="N11" s="270"/>
      <c r="O11" s="270"/>
    </row>
    <row r="12" spans="1:15" hidden="1">
      <c r="A12" s="269">
        <v>45663</v>
      </c>
      <c r="B12" s="270" t="s">
        <v>102</v>
      </c>
      <c r="C12" s="270" t="s">
        <v>123</v>
      </c>
      <c r="D12" s="271" t="s">
        <v>117</v>
      </c>
      <c r="E12" s="272">
        <v>300000</v>
      </c>
      <c r="F12" s="272">
        <v>526.11734170444481</v>
      </c>
      <c r="G12" s="273">
        <v>570.21500000000003</v>
      </c>
      <c r="H12" s="274" t="s">
        <v>148</v>
      </c>
      <c r="I12" s="274" t="s">
        <v>130</v>
      </c>
      <c r="J12" s="274" t="s">
        <v>98</v>
      </c>
      <c r="K12" s="275" t="s">
        <v>2149</v>
      </c>
      <c r="L12" s="274" t="s">
        <v>2341</v>
      </c>
      <c r="M12" s="270"/>
      <c r="N12" s="270"/>
      <c r="O12" s="270"/>
    </row>
    <row r="13" spans="1:15" hidden="1">
      <c r="A13" s="269">
        <v>45663</v>
      </c>
      <c r="B13" s="270" t="s">
        <v>532</v>
      </c>
      <c r="C13" s="276" t="s">
        <v>126</v>
      </c>
      <c r="D13" s="270" t="s">
        <v>118</v>
      </c>
      <c r="E13" s="272">
        <v>500000</v>
      </c>
      <c r="F13" s="272">
        <v>838.65459674971032</v>
      </c>
      <c r="G13" s="273">
        <v>596.19299999999998</v>
      </c>
      <c r="H13" s="274" t="s">
        <v>148</v>
      </c>
      <c r="I13" s="274" t="s">
        <v>132</v>
      </c>
      <c r="J13" s="274" t="s">
        <v>98</v>
      </c>
      <c r="K13" s="275" t="s">
        <v>2149</v>
      </c>
      <c r="L13" s="274" t="s">
        <v>2341</v>
      </c>
      <c r="M13" s="270"/>
      <c r="N13" s="270"/>
      <c r="O13" s="270"/>
    </row>
    <row r="14" spans="1:15" hidden="1">
      <c r="A14" s="269">
        <v>45663</v>
      </c>
      <c r="B14" s="270" t="s">
        <v>535</v>
      </c>
      <c r="C14" s="276" t="s">
        <v>317</v>
      </c>
      <c r="D14" s="270" t="s">
        <v>118</v>
      </c>
      <c r="E14" s="272">
        <v>260000</v>
      </c>
      <c r="F14" s="272">
        <v>436.10039030984933</v>
      </c>
      <c r="G14" s="273">
        <v>596.19299999999998</v>
      </c>
      <c r="H14" s="274" t="s">
        <v>148</v>
      </c>
      <c r="I14" s="274" t="s">
        <v>142</v>
      </c>
      <c r="J14" s="274" t="s">
        <v>98</v>
      </c>
      <c r="K14" s="275" t="s">
        <v>2149</v>
      </c>
      <c r="L14" s="274" t="s">
        <v>2341</v>
      </c>
      <c r="M14" s="270"/>
      <c r="N14" s="270"/>
      <c r="O14" s="270"/>
    </row>
    <row r="15" spans="1:15" hidden="1">
      <c r="A15" s="269">
        <v>45663</v>
      </c>
      <c r="B15" s="270" t="s">
        <v>536</v>
      </c>
      <c r="C15" s="270" t="s">
        <v>123</v>
      </c>
      <c r="D15" s="271" t="s">
        <v>117</v>
      </c>
      <c r="E15" s="272">
        <v>150000</v>
      </c>
      <c r="F15" s="272">
        <v>251.59637902491309</v>
      </c>
      <c r="G15" s="273">
        <v>596.19299999999998</v>
      </c>
      <c r="H15" s="274" t="s">
        <v>148</v>
      </c>
      <c r="I15" s="274" t="s">
        <v>143</v>
      </c>
      <c r="J15" s="274" t="s">
        <v>98</v>
      </c>
      <c r="K15" s="275" t="s">
        <v>2149</v>
      </c>
      <c r="L15" s="274" t="s">
        <v>2341</v>
      </c>
      <c r="M15" s="270"/>
      <c r="N15" s="270"/>
      <c r="O15" s="270"/>
    </row>
    <row r="16" spans="1:15" hidden="1">
      <c r="A16" s="269">
        <v>45664</v>
      </c>
      <c r="B16" s="270" t="s">
        <v>174</v>
      </c>
      <c r="C16" s="276" t="s">
        <v>175</v>
      </c>
      <c r="D16" s="271" t="s">
        <v>502</v>
      </c>
      <c r="E16" s="272">
        <v>7000</v>
      </c>
      <c r="F16" s="272">
        <v>12.276071306437045</v>
      </c>
      <c r="G16" s="273">
        <v>570.21500000000003</v>
      </c>
      <c r="H16" s="274" t="s">
        <v>176</v>
      </c>
      <c r="I16" s="274" t="s">
        <v>177</v>
      </c>
      <c r="J16" s="274" t="s">
        <v>98</v>
      </c>
      <c r="K16" s="275" t="s">
        <v>2149</v>
      </c>
      <c r="L16" s="274" t="s">
        <v>2341</v>
      </c>
      <c r="M16" s="270"/>
      <c r="N16" s="270"/>
      <c r="O16" s="270"/>
    </row>
    <row r="17" spans="1:15" hidden="1">
      <c r="A17" s="269">
        <v>45664</v>
      </c>
      <c r="B17" s="270" t="s">
        <v>178</v>
      </c>
      <c r="C17" s="276" t="s">
        <v>179</v>
      </c>
      <c r="D17" s="271" t="s">
        <v>502</v>
      </c>
      <c r="E17" s="272">
        <v>100000</v>
      </c>
      <c r="F17" s="272">
        <v>175.37244723481493</v>
      </c>
      <c r="G17" s="273">
        <v>570.21500000000003</v>
      </c>
      <c r="H17" s="274" t="s">
        <v>176</v>
      </c>
      <c r="I17" s="274" t="s">
        <v>180</v>
      </c>
      <c r="J17" s="274" t="s">
        <v>98</v>
      </c>
      <c r="K17" s="275" t="s">
        <v>2149</v>
      </c>
      <c r="L17" s="274" t="s">
        <v>2341</v>
      </c>
      <c r="M17" s="270"/>
      <c r="N17" s="270"/>
      <c r="O17" s="270"/>
    </row>
    <row r="18" spans="1:15" hidden="1">
      <c r="A18" s="269">
        <v>45665</v>
      </c>
      <c r="B18" s="270" t="s">
        <v>181</v>
      </c>
      <c r="C18" s="276" t="s">
        <v>175</v>
      </c>
      <c r="D18" s="271" t="s">
        <v>119</v>
      </c>
      <c r="E18" s="272">
        <v>226000</v>
      </c>
      <c r="F18" s="272">
        <v>396.34173075068173</v>
      </c>
      <c r="G18" s="273">
        <v>570.21500000000003</v>
      </c>
      <c r="H18" s="274" t="s">
        <v>153</v>
      </c>
      <c r="I18" s="274" t="s">
        <v>182</v>
      </c>
      <c r="J18" s="274" t="s">
        <v>98</v>
      </c>
      <c r="K18" s="275" t="s">
        <v>2149</v>
      </c>
      <c r="L18" s="274" t="s">
        <v>2341</v>
      </c>
      <c r="M18" s="270"/>
      <c r="N18" s="270"/>
      <c r="O18" s="270"/>
    </row>
    <row r="19" spans="1:15" hidden="1">
      <c r="A19" s="269">
        <v>45665</v>
      </c>
      <c r="B19" s="270" t="s">
        <v>183</v>
      </c>
      <c r="C19" s="277" t="s">
        <v>2342</v>
      </c>
      <c r="D19" s="270" t="s">
        <v>118</v>
      </c>
      <c r="E19" s="272">
        <v>22640</v>
      </c>
      <c r="F19" s="272">
        <v>39.704322053962102</v>
      </c>
      <c r="G19" s="273">
        <v>570.21500000000003</v>
      </c>
      <c r="H19" s="274" t="s">
        <v>157</v>
      </c>
      <c r="I19" s="274" t="s">
        <v>185</v>
      </c>
      <c r="J19" s="274" t="s">
        <v>98</v>
      </c>
      <c r="K19" s="275" t="s">
        <v>2149</v>
      </c>
      <c r="L19" s="274" t="s">
        <v>2341</v>
      </c>
      <c r="M19" s="270"/>
      <c r="N19" s="270"/>
      <c r="O19" s="270"/>
    </row>
    <row r="20" spans="1:15" hidden="1">
      <c r="A20" s="269">
        <v>45665</v>
      </c>
      <c r="B20" s="270" t="s">
        <v>186</v>
      </c>
      <c r="C20" s="276" t="s">
        <v>175</v>
      </c>
      <c r="D20" s="271" t="s">
        <v>502</v>
      </c>
      <c r="E20" s="272">
        <v>7000</v>
      </c>
      <c r="F20" s="272">
        <v>12.276071306437045</v>
      </c>
      <c r="G20" s="273">
        <v>570.21500000000003</v>
      </c>
      <c r="H20" s="274" t="s">
        <v>187</v>
      </c>
      <c r="I20" s="274" t="s">
        <v>188</v>
      </c>
      <c r="J20" s="274" t="s">
        <v>98</v>
      </c>
      <c r="K20" s="275" t="s">
        <v>2149</v>
      </c>
      <c r="L20" s="274" t="s">
        <v>2341</v>
      </c>
      <c r="M20" s="270"/>
      <c r="N20" s="270"/>
      <c r="O20" s="270"/>
    </row>
    <row r="21" spans="1:15" hidden="1">
      <c r="A21" s="269">
        <v>45665</v>
      </c>
      <c r="B21" s="270" t="s">
        <v>189</v>
      </c>
      <c r="C21" s="276" t="s">
        <v>175</v>
      </c>
      <c r="D21" s="271" t="s">
        <v>117</v>
      </c>
      <c r="E21" s="272">
        <v>7000</v>
      </c>
      <c r="F21" s="272">
        <v>12.276071306437045</v>
      </c>
      <c r="G21" s="273">
        <v>570.21500000000003</v>
      </c>
      <c r="H21" s="274" t="s">
        <v>190</v>
      </c>
      <c r="I21" s="274" t="s">
        <v>191</v>
      </c>
      <c r="J21" s="274" t="s">
        <v>98</v>
      </c>
      <c r="K21" s="275" t="s">
        <v>2149</v>
      </c>
      <c r="L21" s="274" t="s">
        <v>2341</v>
      </c>
      <c r="M21" s="270"/>
      <c r="N21" s="270"/>
      <c r="O21" s="270"/>
    </row>
    <row r="22" spans="1:15" hidden="1">
      <c r="A22" s="269">
        <v>45665</v>
      </c>
      <c r="B22" s="270" t="s">
        <v>192</v>
      </c>
      <c r="C22" s="276" t="s">
        <v>175</v>
      </c>
      <c r="D22" s="271" t="s">
        <v>117</v>
      </c>
      <c r="E22" s="272">
        <v>7000</v>
      </c>
      <c r="F22" s="272">
        <v>12.276071306437045</v>
      </c>
      <c r="G22" s="273">
        <v>570.21500000000003</v>
      </c>
      <c r="H22" s="274" t="s">
        <v>193</v>
      </c>
      <c r="I22" s="274" t="s">
        <v>194</v>
      </c>
      <c r="J22" s="274" t="s">
        <v>98</v>
      </c>
      <c r="K22" s="275" t="s">
        <v>2149</v>
      </c>
      <c r="L22" s="274" t="s">
        <v>2341</v>
      </c>
      <c r="M22" s="270"/>
      <c r="N22" s="270"/>
      <c r="O22" s="270"/>
    </row>
    <row r="23" spans="1:15" hidden="1">
      <c r="A23" s="269">
        <v>45665</v>
      </c>
      <c r="B23" s="270" t="s">
        <v>195</v>
      </c>
      <c r="C23" s="277" t="s">
        <v>2342</v>
      </c>
      <c r="D23" s="270" t="s">
        <v>118</v>
      </c>
      <c r="E23" s="272">
        <v>1860</v>
      </c>
      <c r="F23" s="272">
        <v>3.2619275185675578</v>
      </c>
      <c r="G23" s="273">
        <v>570.21500000000003</v>
      </c>
      <c r="H23" s="274" t="s">
        <v>196</v>
      </c>
      <c r="I23" s="274" t="s">
        <v>197</v>
      </c>
      <c r="J23" s="274" t="s">
        <v>98</v>
      </c>
      <c r="K23" s="275" t="s">
        <v>2149</v>
      </c>
      <c r="L23" s="274" t="s">
        <v>2341</v>
      </c>
      <c r="M23" s="270"/>
      <c r="N23" s="270"/>
      <c r="O23" s="270"/>
    </row>
    <row r="24" spans="1:15" hidden="1">
      <c r="A24" s="269">
        <v>45665</v>
      </c>
      <c r="B24" s="270" t="s">
        <v>198</v>
      </c>
      <c r="C24" s="276" t="s">
        <v>175</v>
      </c>
      <c r="D24" s="271" t="s">
        <v>117</v>
      </c>
      <c r="E24" s="272">
        <v>7000</v>
      </c>
      <c r="F24" s="272">
        <v>12.276071306437045</v>
      </c>
      <c r="G24" s="273">
        <v>570.21500000000003</v>
      </c>
      <c r="H24" s="274" t="s">
        <v>200</v>
      </c>
      <c r="I24" s="274" t="s">
        <v>201</v>
      </c>
      <c r="J24" s="274" t="s">
        <v>98</v>
      </c>
      <c r="K24" s="275" t="s">
        <v>2149</v>
      </c>
      <c r="L24" s="274" t="s">
        <v>2341</v>
      </c>
      <c r="M24" s="270"/>
      <c r="N24" s="270"/>
      <c r="O24" s="270"/>
    </row>
    <row r="25" spans="1:15" hidden="1">
      <c r="A25" s="269">
        <v>45666</v>
      </c>
      <c r="B25" s="270" t="s">
        <v>202</v>
      </c>
      <c r="C25" s="276" t="s">
        <v>175</v>
      </c>
      <c r="D25" s="270" t="s">
        <v>2343</v>
      </c>
      <c r="E25" s="272">
        <v>7000</v>
      </c>
      <c r="F25" s="272">
        <v>12.276071306437045</v>
      </c>
      <c r="G25" s="273">
        <v>570.21500000000003</v>
      </c>
      <c r="H25" s="274" t="s">
        <v>203</v>
      </c>
      <c r="I25" s="274" t="s">
        <v>204</v>
      </c>
      <c r="J25" s="274" t="s">
        <v>98</v>
      </c>
      <c r="K25" s="275" t="s">
        <v>2149</v>
      </c>
      <c r="L25" s="274" t="s">
        <v>2341</v>
      </c>
      <c r="M25" s="270"/>
      <c r="N25" s="270"/>
      <c r="O25" s="270"/>
    </row>
    <row r="26" spans="1:15" hidden="1">
      <c r="A26" s="269">
        <v>45666</v>
      </c>
      <c r="B26" s="270" t="s">
        <v>206</v>
      </c>
      <c r="C26" s="276" t="s">
        <v>179</v>
      </c>
      <c r="D26" s="271" t="s">
        <v>502</v>
      </c>
      <c r="E26" s="272">
        <v>80000</v>
      </c>
      <c r="F26" s="272">
        <v>140.29795778785194</v>
      </c>
      <c r="G26" s="273">
        <v>570.21500000000003</v>
      </c>
      <c r="H26" s="274" t="s">
        <v>187</v>
      </c>
      <c r="I26" s="274" t="s">
        <v>207</v>
      </c>
      <c r="J26" s="274" t="s">
        <v>98</v>
      </c>
      <c r="K26" s="275" t="s">
        <v>2149</v>
      </c>
      <c r="L26" s="274" t="s">
        <v>2341</v>
      </c>
      <c r="M26" s="270"/>
      <c r="N26" s="270"/>
      <c r="O26" s="270"/>
    </row>
    <row r="27" spans="1:15" hidden="1">
      <c r="A27" s="269">
        <v>45666</v>
      </c>
      <c r="B27" s="270" t="s">
        <v>208</v>
      </c>
      <c r="C27" s="276" t="s">
        <v>179</v>
      </c>
      <c r="D27" s="271" t="s">
        <v>117</v>
      </c>
      <c r="E27" s="272">
        <v>160000</v>
      </c>
      <c r="F27" s="272">
        <v>280.59591557570388</v>
      </c>
      <c r="G27" s="273">
        <v>570.21500000000003</v>
      </c>
      <c r="H27" s="274" t="s">
        <v>190</v>
      </c>
      <c r="I27" s="274" t="s">
        <v>209</v>
      </c>
      <c r="J27" s="274" t="s">
        <v>98</v>
      </c>
      <c r="K27" s="275" t="s">
        <v>2149</v>
      </c>
      <c r="L27" s="274" t="s">
        <v>2341</v>
      </c>
      <c r="M27" s="270"/>
      <c r="N27" s="270"/>
      <c r="O27" s="270"/>
    </row>
    <row r="28" spans="1:15" hidden="1">
      <c r="A28" s="269">
        <v>45666</v>
      </c>
      <c r="B28" s="270" t="s">
        <v>210</v>
      </c>
      <c r="C28" s="276" t="s">
        <v>179</v>
      </c>
      <c r="D28" s="271" t="s">
        <v>117</v>
      </c>
      <c r="E28" s="272">
        <v>80000</v>
      </c>
      <c r="F28" s="272">
        <v>140.29795778785194</v>
      </c>
      <c r="G28" s="273">
        <v>570.21500000000003</v>
      </c>
      <c r="H28" s="274" t="s">
        <v>193</v>
      </c>
      <c r="I28" s="274" t="s">
        <v>211</v>
      </c>
      <c r="J28" s="274" t="s">
        <v>98</v>
      </c>
      <c r="K28" s="275" t="s">
        <v>2149</v>
      </c>
      <c r="L28" s="274" t="s">
        <v>2341</v>
      </c>
      <c r="M28" s="270"/>
      <c r="N28" s="270"/>
      <c r="O28" s="270"/>
    </row>
    <row r="29" spans="1:15" hidden="1">
      <c r="A29" s="269">
        <v>45666</v>
      </c>
      <c r="B29" s="270" t="s">
        <v>212</v>
      </c>
      <c r="C29" s="277" t="s">
        <v>2342</v>
      </c>
      <c r="D29" s="270" t="s">
        <v>118</v>
      </c>
      <c r="E29" s="272">
        <v>32070</v>
      </c>
      <c r="F29" s="272">
        <v>56.241943828205144</v>
      </c>
      <c r="G29" s="273">
        <v>570.21500000000003</v>
      </c>
      <c r="H29" s="274" t="s">
        <v>196</v>
      </c>
      <c r="I29" s="274" t="s">
        <v>213</v>
      </c>
      <c r="J29" s="274" t="s">
        <v>98</v>
      </c>
      <c r="K29" s="275" t="s">
        <v>2149</v>
      </c>
      <c r="L29" s="274" t="s">
        <v>2341</v>
      </c>
      <c r="M29" s="270"/>
      <c r="N29" s="270"/>
      <c r="O29" s="270"/>
    </row>
    <row r="30" spans="1:15" hidden="1">
      <c r="A30" s="269">
        <v>45666</v>
      </c>
      <c r="B30" s="270" t="s">
        <v>214</v>
      </c>
      <c r="C30" s="276" t="s">
        <v>179</v>
      </c>
      <c r="D30" s="271" t="s">
        <v>117</v>
      </c>
      <c r="E30" s="272">
        <v>100000</v>
      </c>
      <c r="F30" s="272">
        <v>175.37244723481493</v>
      </c>
      <c r="G30" s="273">
        <v>570.21500000000003</v>
      </c>
      <c r="H30" s="274" t="s">
        <v>200</v>
      </c>
      <c r="I30" s="274" t="s">
        <v>215</v>
      </c>
      <c r="J30" s="274" t="s">
        <v>98</v>
      </c>
      <c r="K30" s="275" t="s">
        <v>2149</v>
      </c>
      <c r="L30" s="274" t="s">
        <v>2341</v>
      </c>
      <c r="M30" s="270"/>
      <c r="N30" s="270"/>
      <c r="O30" s="270"/>
    </row>
    <row r="31" spans="1:15" hidden="1">
      <c r="A31" s="269">
        <v>45666</v>
      </c>
      <c r="B31" s="270" t="s">
        <v>216</v>
      </c>
      <c r="C31" s="276" t="s">
        <v>175</v>
      </c>
      <c r="D31" s="270" t="s">
        <v>120</v>
      </c>
      <c r="E31" s="272">
        <v>7000</v>
      </c>
      <c r="F31" s="272">
        <v>12.276071306437045</v>
      </c>
      <c r="G31" s="273">
        <v>570.21500000000003</v>
      </c>
      <c r="H31" s="274" t="s">
        <v>217</v>
      </c>
      <c r="I31" s="274" t="s">
        <v>218</v>
      </c>
      <c r="J31" s="274" t="s">
        <v>98</v>
      </c>
      <c r="K31" s="275" t="s">
        <v>2149</v>
      </c>
      <c r="L31" s="274" t="s">
        <v>2341</v>
      </c>
      <c r="M31" s="270"/>
      <c r="N31" s="270"/>
      <c r="O31" s="270"/>
    </row>
    <row r="32" spans="1:15" hidden="1">
      <c r="A32" s="269">
        <v>45667</v>
      </c>
      <c r="B32" s="270" t="s">
        <v>219</v>
      </c>
      <c r="C32" s="276" t="s">
        <v>179</v>
      </c>
      <c r="D32" s="271" t="s">
        <v>117</v>
      </c>
      <c r="E32" s="272">
        <v>150000</v>
      </c>
      <c r="F32" s="272">
        <v>263.05867085222241</v>
      </c>
      <c r="G32" s="273">
        <v>570.21500000000003</v>
      </c>
      <c r="H32" s="274" t="s">
        <v>203</v>
      </c>
      <c r="I32" s="274" t="s">
        <v>220</v>
      </c>
      <c r="J32" s="274" t="s">
        <v>98</v>
      </c>
      <c r="K32" s="275" t="s">
        <v>2149</v>
      </c>
      <c r="L32" s="274" t="s">
        <v>2341</v>
      </c>
      <c r="M32" s="270"/>
      <c r="N32" s="270"/>
      <c r="O32" s="270"/>
    </row>
    <row r="33" spans="1:15" hidden="1">
      <c r="A33" s="269">
        <v>45667</v>
      </c>
      <c r="B33" s="270" t="s">
        <v>222</v>
      </c>
      <c r="C33" s="276" t="s">
        <v>126</v>
      </c>
      <c r="D33" s="270" t="s">
        <v>118</v>
      </c>
      <c r="E33" s="272">
        <v>59466</v>
      </c>
      <c r="F33" s="272">
        <v>104.28697947265505</v>
      </c>
      <c r="G33" s="273">
        <v>570.21500000000003</v>
      </c>
      <c r="H33" s="274" t="s">
        <v>196</v>
      </c>
      <c r="I33" s="274" t="s">
        <v>223</v>
      </c>
      <c r="J33" s="274" t="s">
        <v>98</v>
      </c>
      <c r="K33" s="275" t="s">
        <v>2149</v>
      </c>
      <c r="L33" s="274" t="s">
        <v>2341</v>
      </c>
      <c r="M33" s="270"/>
      <c r="N33" s="270"/>
      <c r="O33" s="270"/>
    </row>
    <row r="34" spans="1:15" hidden="1">
      <c r="A34" s="269">
        <v>45667</v>
      </c>
      <c r="B34" s="270" t="s">
        <v>224</v>
      </c>
      <c r="C34" s="276" t="s">
        <v>179</v>
      </c>
      <c r="D34" s="270" t="s">
        <v>120</v>
      </c>
      <c r="E34" s="272">
        <v>70000</v>
      </c>
      <c r="F34" s="272">
        <v>122.76071306437045</v>
      </c>
      <c r="G34" s="273">
        <v>570.21500000000003</v>
      </c>
      <c r="H34" s="274" t="s">
        <v>217</v>
      </c>
      <c r="I34" s="274" t="s">
        <v>225</v>
      </c>
      <c r="J34" s="274" t="s">
        <v>98</v>
      </c>
      <c r="K34" s="275" t="s">
        <v>2149</v>
      </c>
      <c r="L34" s="274" t="s">
        <v>2341</v>
      </c>
      <c r="M34" s="270"/>
      <c r="N34" s="270"/>
      <c r="O34" s="270"/>
    </row>
    <row r="35" spans="1:15" hidden="1">
      <c r="A35" s="269">
        <v>45670</v>
      </c>
      <c r="B35" s="270" t="s">
        <v>226</v>
      </c>
      <c r="C35" s="276" t="s">
        <v>179</v>
      </c>
      <c r="D35" s="270" t="s">
        <v>2343</v>
      </c>
      <c r="E35" s="272">
        <v>45000</v>
      </c>
      <c r="F35" s="272">
        <v>78.917601255666725</v>
      </c>
      <c r="G35" s="273">
        <v>570.21500000000003</v>
      </c>
      <c r="H35" s="274" t="s">
        <v>203</v>
      </c>
      <c r="I35" s="274" t="s">
        <v>227</v>
      </c>
      <c r="J35" s="274" t="s">
        <v>98</v>
      </c>
      <c r="K35" s="275" t="s">
        <v>2149</v>
      </c>
      <c r="L35" s="274" t="s">
        <v>2341</v>
      </c>
      <c r="M35" s="270"/>
      <c r="N35" s="270"/>
      <c r="O35" s="270"/>
    </row>
    <row r="36" spans="1:15" hidden="1">
      <c r="A36" s="269">
        <v>45670</v>
      </c>
      <c r="B36" s="270" t="s">
        <v>228</v>
      </c>
      <c r="C36" s="276" t="s">
        <v>179</v>
      </c>
      <c r="D36" s="271" t="s">
        <v>502</v>
      </c>
      <c r="E36" s="272">
        <v>60000</v>
      </c>
      <c r="F36" s="272">
        <v>105.22346834088896</v>
      </c>
      <c r="G36" s="273">
        <v>570.21500000000003</v>
      </c>
      <c r="H36" s="274" t="s">
        <v>187</v>
      </c>
      <c r="I36" s="274" t="s">
        <v>229</v>
      </c>
      <c r="J36" s="274" t="s">
        <v>98</v>
      </c>
      <c r="K36" s="275" t="s">
        <v>2149</v>
      </c>
      <c r="L36" s="274" t="s">
        <v>2341</v>
      </c>
      <c r="M36" s="270"/>
      <c r="N36" s="270"/>
      <c r="O36" s="270"/>
    </row>
    <row r="37" spans="1:15" hidden="1">
      <c r="A37" s="269">
        <v>45670</v>
      </c>
      <c r="B37" s="270" t="s">
        <v>195</v>
      </c>
      <c r="C37" s="277" t="s">
        <v>2342</v>
      </c>
      <c r="D37" s="270" t="s">
        <v>118</v>
      </c>
      <c r="E37" s="272">
        <v>1000</v>
      </c>
      <c r="F37" s="272">
        <v>1.7537244723481493</v>
      </c>
      <c r="G37" s="273">
        <v>570.21500000000003</v>
      </c>
      <c r="H37" s="274" t="s">
        <v>196</v>
      </c>
      <c r="I37" s="274" t="s">
        <v>230</v>
      </c>
      <c r="J37" s="274" t="s">
        <v>98</v>
      </c>
      <c r="K37" s="275" t="s">
        <v>2149</v>
      </c>
      <c r="L37" s="274" t="s">
        <v>2341</v>
      </c>
      <c r="M37" s="270"/>
      <c r="N37" s="270"/>
      <c r="O37" s="270"/>
    </row>
    <row r="38" spans="1:15" hidden="1">
      <c r="A38" s="269">
        <v>45671</v>
      </c>
      <c r="B38" s="270" t="s">
        <v>530</v>
      </c>
      <c r="C38" s="276" t="s">
        <v>179</v>
      </c>
      <c r="D38" s="271" t="s">
        <v>119</v>
      </c>
      <c r="E38" s="272">
        <v>245000</v>
      </c>
      <c r="F38" s="272">
        <v>429.66249572529659</v>
      </c>
      <c r="G38" s="273">
        <v>570.21500000000003</v>
      </c>
      <c r="H38" s="274" t="s">
        <v>193</v>
      </c>
      <c r="I38" s="274" t="s">
        <v>221</v>
      </c>
      <c r="J38" s="274" t="s">
        <v>98</v>
      </c>
      <c r="K38" s="275" t="s">
        <v>2149</v>
      </c>
      <c r="L38" s="274" t="s">
        <v>2341</v>
      </c>
      <c r="M38" s="270"/>
      <c r="N38" s="270"/>
      <c r="O38" s="270"/>
    </row>
    <row r="39" spans="1:15" hidden="1">
      <c r="A39" s="269">
        <v>45671</v>
      </c>
      <c r="B39" s="270" t="s">
        <v>231</v>
      </c>
      <c r="C39" s="277" t="s">
        <v>2342</v>
      </c>
      <c r="D39" s="270" t="s">
        <v>118</v>
      </c>
      <c r="E39" s="272">
        <v>8100</v>
      </c>
      <c r="F39" s="272">
        <v>14.205168226020009</v>
      </c>
      <c r="G39" s="273">
        <v>570.21500000000003</v>
      </c>
      <c r="H39" s="274" t="s">
        <v>196</v>
      </c>
      <c r="I39" s="274" t="s">
        <v>232</v>
      </c>
      <c r="J39" s="274" t="s">
        <v>98</v>
      </c>
      <c r="K39" s="275" t="s">
        <v>2149</v>
      </c>
      <c r="L39" s="274" t="s">
        <v>2341</v>
      </c>
      <c r="M39" s="270"/>
      <c r="N39" s="270"/>
      <c r="O39" s="270"/>
    </row>
    <row r="40" spans="1:15" hidden="1">
      <c r="A40" s="269">
        <v>45672</v>
      </c>
      <c r="B40" s="270" t="s">
        <v>233</v>
      </c>
      <c r="C40" s="276" t="s">
        <v>179</v>
      </c>
      <c r="D40" s="270" t="s">
        <v>2343</v>
      </c>
      <c r="E40" s="272">
        <v>9750</v>
      </c>
      <c r="F40" s="272">
        <v>17.098813605394454</v>
      </c>
      <c r="G40" s="273">
        <v>570.21500000000003</v>
      </c>
      <c r="H40" s="274" t="s">
        <v>203</v>
      </c>
      <c r="I40" s="274" t="s">
        <v>234</v>
      </c>
      <c r="J40" s="274" t="s">
        <v>98</v>
      </c>
      <c r="K40" s="275" t="s">
        <v>2149</v>
      </c>
      <c r="L40" s="274" t="s">
        <v>2341</v>
      </c>
      <c r="M40" s="270"/>
      <c r="N40" s="270"/>
      <c r="O40" s="270"/>
    </row>
    <row r="41" spans="1:15" hidden="1">
      <c r="A41" s="269">
        <v>45672</v>
      </c>
      <c r="B41" s="270" t="s">
        <v>235</v>
      </c>
      <c r="C41" s="270" t="s">
        <v>152</v>
      </c>
      <c r="D41" s="271" t="s">
        <v>119</v>
      </c>
      <c r="E41" s="272">
        <v>31000</v>
      </c>
      <c r="F41" s="272">
        <v>54.365458642792625</v>
      </c>
      <c r="G41" s="273">
        <v>570.21500000000003</v>
      </c>
      <c r="H41" s="274" t="s">
        <v>157</v>
      </c>
      <c r="I41" s="274" t="s">
        <v>236</v>
      </c>
      <c r="J41" s="274" t="s">
        <v>98</v>
      </c>
      <c r="K41" s="275" t="s">
        <v>2149</v>
      </c>
      <c r="L41" s="274" t="s">
        <v>2341</v>
      </c>
      <c r="M41" s="270"/>
      <c r="N41" s="270"/>
      <c r="O41" s="270"/>
    </row>
    <row r="42" spans="1:15" hidden="1">
      <c r="A42" s="269">
        <v>45672</v>
      </c>
      <c r="B42" s="270" t="s">
        <v>237</v>
      </c>
      <c r="C42" s="270" t="s">
        <v>152</v>
      </c>
      <c r="D42" s="271" t="s">
        <v>117</v>
      </c>
      <c r="E42" s="272">
        <v>35000</v>
      </c>
      <c r="F42" s="272">
        <v>61.380356532185225</v>
      </c>
      <c r="G42" s="273">
        <v>570.21500000000003</v>
      </c>
      <c r="H42" s="274" t="s">
        <v>157</v>
      </c>
      <c r="I42" s="274" t="s">
        <v>238</v>
      </c>
      <c r="J42" s="274" t="s">
        <v>98</v>
      </c>
      <c r="K42" s="275" t="s">
        <v>2149</v>
      </c>
      <c r="L42" s="274" t="s">
        <v>2341</v>
      </c>
      <c r="M42" s="270"/>
      <c r="N42" s="270"/>
      <c r="O42" s="270"/>
    </row>
    <row r="43" spans="1:15" hidden="1">
      <c r="A43" s="269">
        <v>45672</v>
      </c>
      <c r="B43" s="270" t="s">
        <v>239</v>
      </c>
      <c r="C43" s="270" t="s">
        <v>152</v>
      </c>
      <c r="D43" s="271" t="s">
        <v>502</v>
      </c>
      <c r="E43" s="272">
        <v>50000</v>
      </c>
      <c r="F43" s="272">
        <v>87.686223617407464</v>
      </c>
      <c r="G43" s="273">
        <v>570.21500000000003</v>
      </c>
      <c r="H43" s="274" t="s">
        <v>157</v>
      </c>
      <c r="I43" s="274" t="s">
        <v>240</v>
      </c>
      <c r="J43" s="274" t="s">
        <v>98</v>
      </c>
      <c r="K43" s="275" t="s">
        <v>2149</v>
      </c>
      <c r="L43" s="274" t="s">
        <v>2341</v>
      </c>
      <c r="M43" s="270"/>
      <c r="N43" s="270"/>
      <c r="O43" s="270"/>
    </row>
    <row r="44" spans="1:15" hidden="1">
      <c r="A44" s="269">
        <v>45672</v>
      </c>
      <c r="B44" s="270" t="s">
        <v>241</v>
      </c>
      <c r="C44" s="270" t="s">
        <v>152</v>
      </c>
      <c r="D44" s="270" t="s">
        <v>120</v>
      </c>
      <c r="E44" s="272">
        <v>10000</v>
      </c>
      <c r="F44" s="272">
        <v>17.537244723481493</v>
      </c>
      <c r="G44" s="273">
        <v>570.21500000000003</v>
      </c>
      <c r="H44" s="274" t="s">
        <v>157</v>
      </c>
      <c r="I44" s="274" t="s">
        <v>242</v>
      </c>
      <c r="J44" s="274" t="s">
        <v>98</v>
      </c>
      <c r="K44" s="275" t="s">
        <v>2149</v>
      </c>
      <c r="L44" s="274" t="s">
        <v>2341</v>
      </c>
      <c r="M44" s="270"/>
      <c r="N44" s="270"/>
      <c r="O44" s="270"/>
    </row>
    <row r="45" spans="1:15" hidden="1">
      <c r="A45" s="269">
        <v>45672</v>
      </c>
      <c r="B45" s="270" t="s">
        <v>243</v>
      </c>
      <c r="C45" s="270" t="s">
        <v>152</v>
      </c>
      <c r="D45" s="271" t="s">
        <v>117</v>
      </c>
      <c r="E45" s="272">
        <v>10000</v>
      </c>
      <c r="F45" s="272">
        <v>17.537244723481493</v>
      </c>
      <c r="G45" s="273">
        <v>570.21500000000003</v>
      </c>
      <c r="H45" s="274" t="s">
        <v>157</v>
      </c>
      <c r="I45" s="274" t="s">
        <v>244</v>
      </c>
      <c r="J45" s="274" t="s">
        <v>98</v>
      </c>
      <c r="K45" s="275" t="s">
        <v>2149</v>
      </c>
      <c r="L45" s="274" t="s">
        <v>2341</v>
      </c>
      <c r="M45" s="270"/>
      <c r="N45" s="270"/>
      <c r="O45" s="270"/>
    </row>
    <row r="46" spans="1:15" hidden="1">
      <c r="A46" s="269">
        <v>45672</v>
      </c>
      <c r="B46" s="270" t="s">
        <v>245</v>
      </c>
      <c r="C46" s="270" t="s">
        <v>152</v>
      </c>
      <c r="D46" s="271" t="s">
        <v>502</v>
      </c>
      <c r="E46" s="272">
        <v>5000</v>
      </c>
      <c r="F46" s="272">
        <v>8.7686223617407464</v>
      </c>
      <c r="G46" s="273">
        <v>570.21500000000003</v>
      </c>
      <c r="H46" s="274" t="s">
        <v>157</v>
      </c>
      <c r="I46" s="274" t="s">
        <v>246</v>
      </c>
      <c r="J46" s="274" t="s">
        <v>98</v>
      </c>
      <c r="K46" s="275" t="s">
        <v>2149</v>
      </c>
      <c r="L46" s="274" t="s">
        <v>2341</v>
      </c>
      <c r="M46" s="270"/>
      <c r="N46" s="270"/>
      <c r="O46" s="270"/>
    </row>
    <row r="47" spans="1:15" hidden="1">
      <c r="A47" s="269">
        <v>45672</v>
      </c>
      <c r="B47" s="270" t="s">
        <v>247</v>
      </c>
      <c r="C47" s="276" t="s">
        <v>175</v>
      </c>
      <c r="D47" s="271" t="s">
        <v>502</v>
      </c>
      <c r="E47" s="272">
        <v>50000</v>
      </c>
      <c r="F47" s="272">
        <v>87.686223617407464</v>
      </c>
      <c r="G47" s="273">
        <v>570.21500000000003</v>
      </c>
      <c r="H47" s="274" t="s">
        <v>187</v>
      </c>
      <c r="I47" s="274" t="s">
        <v>248</v>
      </c>
      <c r="J47" s="274" t="s">
        <v>98</v>
      </c>
      <c r="K47" s="275" t="s">
        <v>2149</v>
      </c>
      <c r="L47" s="274" t="s">
        <v>2341</v>
      </c>
      <c r="M47" s="270"/>
      <c r="N47" s="270"/>
      <c r="O47" s="270"/>
    </row>
    <row r="48" spans="1:15" hidden="1">
      <c r="A48" s="269">
        <v>45672</v>
      </c>
      <c r="B48" s="270" t="s">
        <v>249</v>
      </c>
      <c r="C48" s="276" t="s">
        <v>179</v>
      </c>
      <c r="D48" s="271" t="s">
        <v>502</v>
      </c>
      <c r="E48" s="272">
        <v>120000</v>
      </c>
      <c r="F48" s="272">
        <v>210.44693668177791</v>
      </c>
      <c r="G48" s="273">
        <v>570.21500000000003</v>
      </c>
      <c r="H48" s="274" t="s">
        <v>176</v>
      </c>
      <c r="I48" s="274" t="s">
        <v>250</v>
      </c>
      <c r="J48" s="274" t="s">
        <v>98</v>
      </c>
      <c r="K48" s="275" t="s">
        <v>2149</v>
      </c>
      <c r="L48" s="274" t="s">
        <v>2341</v>
      </c>
      <c r="M48" s="270"/>
      <c r="N48" s="270"/>
      <c r="O48" s="270"/>
    </row>
    <row r="49" spans="1:15" hidden="1">
      <c r="A49" s="269">
        <v>45672</v>
      </c>
      <c r="B49" s="270" t="s">
        <v>251</v>
      </c>
      <c r="C49" s="276" t="s">
        <v>175</v>
      </c>
      <c r="D49" s="270" t="s">
        <v>2343</v>
      </c>
      <c r="E49" s="272">
        <v>8500</v>
      </c>
      <c r="F49" s="272">
        <v>14.90665801495927</v>
      </c>
      <c r="G49" s="273">
        <v>570.21500000000003</v>
      </c>
      <c r="H49" s="274" t="s">
        <v>190</v>
      </c>
      <c r="I49" s="274" t="s">
        <v>252</v>
      </c>
      <c r="J49" s="274" t="s">
        <v>98</v>
      </c>
      <c r="K49" s="275" t="s">
        <v>2149</v>
      </c>
      <c r="L49" s="274" t="s">
        <v>2341</v>
      </c>
      <c r="M49" s="270"/>
      <c r="N49" s="270"/>
      <c r="O49" s="270"/>
    </row>
    <row r="50" spans="1:15" hidden="1">
      <c r="A50" s="269">
        <v>45672</v>
      </c>
      <c r="B50" s="270" t="s">
        <v>251</v>
      </c>
      <c r="C50" s="276" t="s">
        <v>175</v>
      </c>
      <c r="D50" s="270" t="s">
        <v>2343</v>
      </c>
      <c r="E50" s="272">
        <v>8500</v>
      </c>
      <c r="F50" s="272">
        <v>14.90665801495927</v>
      </c>
      <c r="G50" s="273">
        <v>570.21500000000003</v>
      </c>
      <c r="H50" s="274" t="s">
        <v>190</v>
      </c>
      <c r="I50" s="274" t="s">
        <v>253</v>
      </c>
      <c r="J50" s="274" t="s">
        <v>98</v>
      </c>
      <c r="K50" s="275" t="s">
        <v>2149</v>
      </c>
      <c r="L50" s="274" t="s">
        <v>2341</v>
      </c>
      <c r="M50" s="270"/>
      <c r="N50" s="270"/>
      <c r="O50" s="270"/>
    </row>
    <row r="51" spans="1:15" hidden="1">
      <c r="A51" s="269">
        <v>45672</v>
      </c>
      <c r="B51" s="270" t="s">
        <v>254</v>
      </c>
      <c r="C51" s="276" t="s">
        <v>179</v>
      </c>
      <c r="D51" s="270" t="s">
        <v>2343</v>
      </c>
      <c r="E51" s="272">
        <v>10100</v>
      </c>
      <c r="F51" s="272">
        <v>17.712617170716307</v>
      </c>
      <c r="G51" s="273">
        <v>570.21500000000003</v>
      </c>
      <c r="H51" s="274" t="s">
        <v>190</v>
      </c>
      <c r="I51" s="274" t="s">
        <v>255</v>
      </c>
      <c r="J51" s="274" t="s">
        <v>98</v>
      </c>
      <c r="K51" s="275" t="s">
        <v>2149</v>
      </c>
      <c r="L51" s="274" t="s">
        <v>2341</v>
      </c>
      <c r="M51" s="270"/>
      <c r="N51" s="270"/>
      <c r="O51" s="270"/>
    </row>
    <row r="52" spans="1:15" hidden="1">
      <c r="A52" s="269">
        <v>45672</v>
      </c>
      <c r="B52" s="270" t="s">
        <v>256</v>
      </c>
      <c r="C52" s="276" t="s">
        <v>179</v>
      </c>
      <c r="D52" s="271" t="s">
        <v>117</v>
      </c>
      <c r="E52" s="272">
        <v>90000</v>
      </c>
      <c r="F52" s="272">
        <v>157.83520251133345</v>
      </c>
      <c r="G52" s="273">
        <v>570.21500000000003</v>
      </c>
      <c r="H52" s="274" t="s">
        <v>193</v>
      </c>
      <c r="I52" s="274" t="s">
        <v>257</v>
      </c>
      <c r="J52" s="274" t="s">
        <v>98</v>
      </c>
      <c r="K52" s="275" t="s">
        <v>2149</v>
      </c>
      <c r="L52" s="274" t="s">
        <v>2341</v>
      </c>
      <c r="M52" s="270"/>
      <c r="N52" s="270"/>
      <c r="O52" s="270"/>
    </row>
    <row r="53" spans="1:15" hidden="1">
      <c r="A53" s="269">
        <v>45672</v>
      </c>
      <c r="B53" s="270" t="s">
        <v>258</v>
      </c>
      <c r="C53" s="276" t="s">
        <v>179</v>
      </c>
      <c r="D53" s="270" t="s">
        <v>2343</v>
      </c>
      <c r="E53" s="272">
        <v>9600</v>
      </c>
      <c r="F53" s="272">
        <v>16.835754934542233</v>
      </c>
      <c r="G53" s="273">
        <v>570.21500000000003</v>
      </c>
      <c r="H53" s="274" t="s">
        <v>193</v>
      </c>
      <c r="I53" s="274" t="s">
        <v>259</v>
      </c>
      <c r="J53" s="274" t="s">
        <v>98</v>
      </c>
      <c r="K53" s="275" t="s">
        <v>2149</v>
      </c>
      <c r="L53" s="274" t="s">
        <v>2341</v>
      </c>
      <c r="M53" s="270"/>
      <c r="N53" s="270"/>
      <c r="O53" s="270"/>
    </row>
    <row r="54" spans="1:15" hidden="1">
      <c r="A54" s="269">
        <v>45672</v>
      </c>
      <c r="B54" s="270" t="s">
        <v>260</v>
      </c>
      <c r="C54" s="276" t="s">
        <v>175</v>
      </c>
      <c r="D54" s="271" t="s">
        <v>117</v>
      </c>
      <c r="E54" s="272">
        <v>8000</v>
      </c>
      <c r="F54" s="272">
        <v>14.029795778785195</v>
      </c>
      <c r="G54" s="273">
        <v>570.21500000000003</v>
      </c>
      <c r="H54" s="274" t="s">
        <v>196</v>
      </c>
      <c r="I54" s="274" t="s">
        <v>261</v>
      </c>
      <c r="J54" s="274" t="s">
        <v>98</v>
      </c>
      <c r="K54" s="275" t="s">
        <v>2149</v>
      </c>
      <c r="L54" s="274" t="s">
        <v>2341</v>
      </c>
      <c r="M54" s="270"/>
      <c r="N54" s="270"/>
      <c r="O54" s="270"/>
    </row>
    <row r="55" spans="1:15" hidden="1">
      <c r="A55" s="269">
        <v>45672</v>
      </c>
      <c r="B55" s="270" t="s">
        <v>262</v>
      </c>
      <c r="C55" s="270" t="s">
        <v>263</v>
      </c>
      <c r="D55" s="271" t="s">
        <v>117</v>
      </c>
      <c r="E55" s="272">
        <v>72000</v>
      </c>
      <c r="F55" s="272">
        <v>126.26816200906674</v>
      </c>
      <c r="G55" s="273">
        <v>570.21500000000003</v>
      </c>
      <c r="H55" s="274" t="s">
        <v>196</v>
      </c>
      <c r="I55" s="274" t="s">
        <v>264</v>
      </c>
      <c r="J55" s="274" t="s">
        <v>98</v>
      </c>
      <c r="K55" s="275" t="s">
        <v>2149</v>
      </c>
      <c r="L55" s="274" t="s">
        <v>2341</v>
      </c>
      <c r="M55" s="270"/>
      <c r="N55" s="270"/>
      <c r="O55" s="270"/>
    </row>
    <row r="56" spans="1:15" hidden="1">
      <c r="A56" s="269">
        <v>45672</v>
      </c>
      <c r="B56" s="270" t="s">
        <v>265</v>
      </c>
      <c r="C56" s="276" t="s">
        <v>175</v>
      </c>
      <c r="D56" s="270" t="s">
        <v>2343</v>
      </c>
      <c r="E56" s="272">
        <v>25000</v>
      </c>
      <c r="F56" s="272">
        <v>43.843111808703732</v>
      </c>
      <c r="G56" s="273">
        <v>570.21500000000003</v>
      </c>
      <c r="H56" s="274" t="s">
        <v>200</v>
      </c>
      <c r="I56" s="274" t="s">
        <v>266</v>
      </c>
      <c r="J56" s="274" t="s">
        <v>98</v>
      </c>
      <c r="K56" s="275" t="s">
        <v>2149</v>
      </c>
      <c r="L56" s="274" t="s">
        <v>2341</v>
      </c>
      <c r="M56" s="270"/>
      <c r="N56" s="270"/>
      <c r="O56" s="270"/>
    </row>
    <row r="57" spans="1:15" hidden="1">
      <c r="A57" s="269">
        <v>45672</v>
      </c>
      <c r="B57" s="270" t="s">
        <v>267</v>
      </c>
      <c r="C57" s="276" t="s">
        <v>179</v>
      </c>
      <c r="D57" s="270" t="s">
        <v>2343</v>
      </c>
      <c r="E57" s="272">
        <v>19600</v>
      </c>
      <c r="F57" s="272">
        <v>34.372999658023723</v>
      </c>
      <c r="G57" s="273">
        <v>570.21500000000003</v>
      </c>
      <c r="H57" s="274" t="s">
        <v>200</v>
      </c>
      <c r="I57" s="274" t="s">
        <v>268</v>
      </c>
      <c r="J57" s="274" t="s">
        <v>98</v>
      </c>
      <c r="K57" s="275" t="s">
        <v>2149</v>
      </c>
      <c r="L57" s="274" t="s">
        <v>2341</v>
      </c>
      <c r="M57" s="270"/>
      <c r="N57" s="270"/>
      <c r="O57" s="270"/>
    </row>
    <row r="58" spans="1:15" hidden="1">
      <c r="A58" s="269">
        <v>45672</v>
      </c>
      <c r="B58" s="270" t="s">
        <v>269</v>
      </c>
      <c r="C58" s="276" t="s">
        <v>179</v>
      </c>
      <c r="D58" s="270" t="s">
        <v>2343</v>
      </c>
      <c r="E58" s="272">
        <v>9700</v>
      </c>
      <c r="F58" s="272">
        <v>17.011127381777047</v>
      </c>
      <c r="G58" s="273">
        <v>570.21500000000003</v>
      </c>
      <c r="H58" s="274" t="s">
        <v>217</v>
      </c>
      <c r="I58" s="274" t="s">
        <v>270</v>
      </c>
      <c r="J58" s="274" t="s">
        <v>98</v>
      </c>
      <c r="K58" s="275" t="s">
        <v>2149</v>
      </c>
      <c r="L58" s="274" t="s">
        <v>2341</v>
      </c>
      <c r="M58" s="270"/>
      <c r="N58" s="270"/>
      <c r="O58" s="270"/>
    </row>
    <row r="59" spans="1:15" hidden="1">
      <c r="A59" s="269">
        <v>45673</v>
      </c>
      <c r="B59" s="270" t="s">
        <v>271</v>
      </c>
      <c r="C59" s="270" t="s">
        <v>272</v>
      </c>
      <c r="D59" s="270" t="s">
        <v>2343</v>
      </c>
      <c r="E59" s="272">
        <v>160000</v>
      </c>
      <c r="F59" s="272">
        <v>280.59591557570388</v>
      </c>
      <c r="G59" s="273">
        <v>570.21500000000003</v>
      </c>
      <c r="H59" s="274" t="s">
        <v>203</v>
      </c>
      <c r="I59" s="274" t="s">
        <v>273</v>
      </c>
      <c r="J59" s="274" t="s">
        <v>98</v>
      </c>
      <c r="K59" s="275" t="s">
        <v>2149</v>
      </c>
      <c r="L59" s="274" t="s">
        <v>2341</v>
      </c>
      <c r="M59" s="270"/>
      <c r="N59" s="270"/>
      <c r="O59" s="270"/>
    </row>
    <row r="60" spans="1:15" hidden="1">
      <c r="A60" s="269">
        <v>45673</v>
      </c>
      <c r="B60" s="270" t="s">
        <v>274</v>
      </c>
      <c r="C60" s="270" t="s">
        <v>272</v>
      </c>
      <c r="D60" s="270" t="s">
        <v>2343</v>
      </c>
      <c r="E60" s="272">
        <v>20000</v>
      </c>
      <c r="F60" s="272">
        <v>35.074489446962986</v>
      </c>
      <c r="G60" s="273">
        <v>570.21500000000003</v>
      </c>
      <c r="H60" s="274" t="s">
        <v>203</v>
      </c>
      <c r="I60" s="274" t="s">
        <v>275</v>
      </c>
      <c r="J60" s="274" t="s">
        <v>98</v>
      </c>
      <c r="K60" s="275" t="s">
        <v>2149</v>
      </c>
      <c r="L60" s="274" t="s">
        <v>2341</v>
      </c>
      <c r="M60" s="270"/>
      <c r="N60" s="270"/>
      <c r="O60" s="270"/>
    </row>
    <row r="61" spans="1:15" hidden="1">
      <c r="A61" s="269">
        <v>45673</v>
      </c>
      <c r="B61" s="270" t="s">
        <v>276</v>
      </c>
      <c r="C61" s="277" t="s">
        <v>2342</v>
      </c>
      <c r="D61" s="270" t="s">
        <v>118</v>
      </c>
      <c r="E61" s="272">
        <v>6055</v>
      </c>
      <c r="F61" s="272">
        <v>10.618801680068044</v>
      </c>
      <c r="G61" s="273">
        <v>570.21500000000003</v>
      </c>
      <c r="H61" s="274" t="s">
        <v>157</v>
      </c>
      <c r="I61" s="274" t="s">
        <v>277</v>
      </c>
      <c r="J61" s="274" t="s">
        <v>98</v>
      </c>
      <c r="K61" s="275" t="s">
        <v>2149</v>
      </c>
      <c r="L61" s="274" t="s">
        <v>2341</v>
      </c>
      <c r="M61" s="270"/>
      <c r="N61" s="270"/>
      <c r="O61" s="270"/>
    </row>
    <row r="62" spans="1:15" hidden="1">
      <c r="A62" s="269">
        <v>45673</v>
      </c>
      <c r="B62" s="270" t="s">
        <v>278</v>
      </c>
      <c r="C62" s="276" t="s">
        <v>175</v>
      </c>
      <c r="D62" s="271" t="s">
        <v>117</v>
      </c>
      <c r="E62" s="272">
        <v>7000</v>
      </c>
      <c r="F62" s="272">
        <v>12.276071306437045</v>
      </c>
      <c r="G62" s="273">
        <v>570.21500000000003</v>
      </c>
      <c r="H62" s="274" t="s">
        <v>193</v>
      </c>
      <c r="I62" s="274" t="s">
        <v>279</v>
      </c>
      <c r="J62" s="274" t="s">
        <v>98</v>
      </c>
      <c r="K62" s="275" t="s">
        <v>2149</v>
      </c>
      <c r="L62" s="274" t="s">
        <v>2341</v>
      </c>
      <c r="M62" s="270"/>
      <c r="N62" s="270"/>
      <c r="O62" s="270"/>
    </row>
    <row r="63" spans="1:15" hidden="1">
      <c r="A63" s="269">
        <v>45673</v>
      </c>
      <c r="B63" s="270" t="s">
        <v>280</v>
      </c>
      <c r="C63" s="276" t="s">
        <v>179</v>
      </c>
      <c r="D63" s="271" t="s">
        <v>117</v>
      </c>
      <c r="E63" s="272">
        <v>20000</v>
      </c>
      <c r="F63" s="272">
        <v>35.074489446962986</v>
      </c>
      <c r="G63" s="273">
        <v>570.21500000000003</v>
      </c>
      <c r="H63" s="274" t="s">
        <v>196</v>
      </c>
      <c r="I63" s="274" t="s">
        <v>281</v>
      </c>
      <c r="J63" s="274" t="s">
        <v>98</v>
      </c>
      <c r="K63" s="275" t="s">
        <v>2149</v>
      </c>
      <c r="L63" s="274" t="s">
        <v>2341</v>
      </c>
      <c r="M63" s="270"/>
      <c r="N63" s="270"/>
      <c r="O63" s="270"/>
    </row>
    <row r="64" spans="1:15" hidden="1">
      <c r="A64" s="269">
        <v>45673</v>
      </c>
      <c r="B64" s="270" t="s">
        <v>282</v>
      </c>
      <c r="C64" s="276" t="s">
        <v>175</v>
      </c>
      <c r="D64" s="270" t="s">
        <v>120</v>
      </c>
      <c r="E64" s="272">
        <v>7000</v>
      </c>
      <c r="F64" s="272">
        <v>12.276071306437045</v>
      </c>
      <c r="G64" s="273">
        <v>570.21500000000003</v>
      </c>
      <c r="H64" s="274" t="s">
        <v>217</v>
      </c>
      <c r="I64" s="274" t="s">
        <v>283</v>
      </c>
      <c r="J64" s="274" t="s">
        <v>98</v>
      </c>
      <c r="K64" s="275" t="s">
        <v>2149</v>
      </c>
      <c r="L64" s="274" t="s">
        <v>2341</v>
      </c>
      <c r="M64" s="270"/>
      <c r="N64" s="270"/>
      <c r="O64" s="270"/>
    </row>
    <row r="65" spans="1:15" hidden="1">
      <c r="A65" s="269">
        <v>45674</v>
      </c>
      <c r="B65" s="270" t="s">
        <v>284</v>
      </c>
      <c r="C65" s="277" t="s">
        <v>2342</v>
      </c>
      <c r="D65" s="270" t="s">
        <v>118</v>
      </c>
      <c r="E65" s="272">
        <v>6720</v>
      </c>
      <c r="F65" s="272">
        <v>11.785028454179564</v>
      </c>
      <c r="G65" s="273">
        <v>570.21500000000003</v>
      </c>
      <c r="H65" s="274" t="s">
        <v>157</v>
      </c>
      <c r="I65" s="274" t="s">
        <v>285</v>
      </c>
      <c r="J65" s="274" t="s">
        <v>98</v>
      </c>
      <c r="K65" s="275" t="s">
        <v>2149</v>
      </c>
      <c r="L65" s="274" t="s">
        <v>2341</v>
      </c>
      <c r="M65" s="270"/>
      <c r="N65" s="270"/>
      <c r="O65" s="270"/>
    </row>
    <row r="66" spans="1:15" hidden="1">
      <c r="A66" s="269">
        <v>45674</v>
      </c>
      <c r="B66" s="270" t="s">
        <v>286</v>
      </c>
      <c r="C66" s="270" t="s">
        <v>263</v>
      </c>
      <c r="D66" s="271" t="s">
        <v>117</v>
      </c>
      <c r="E66" s="272">
        <v>176000</v>
      </c>
      <c r="F66" s="272">
        <v>308.65550713327428</v>
      </c>
      <c r="G66" s="273">
        <v>570.21500000000003</v>
      </c>
      <c r="H66" s="274" t="s">
        <v>157</v>
      </c>
      <c r="I66" s="274" t="s">
        <v>287</v>
      </c>
      <c r="J66" s="274" t="s">
        <v>98</v>
      </c>
      <c r="K66" s="275" t="s">
        <v>2149</v>
      </c>
      <c r="L66" s="274" t="s">
        <v>2341</v>
      </c>
      <c r="M66" s="270"/>
      <c r="N66" s="270"/>
      <c r="O66" s="270"/>
    </row>
    <row r="67" spans="1:15" hidden="1">
      <c r="A67" s="269">
        <v>45674</v>
      </c>
      <c r="B67" s="270" t="s">
        <v>288</v>
      </c>
      <c r="C67" s="276" t="s">
        <v>179</v>
      </c>
      <c r="D67" s="271" t="s">
        <v>502</v>
      </c>
      <c r="E67" s="272">
        <v>100000</v>
      </c>
      <c r="F67" s="272">
        <v>175.37244723481493</v>
      </c>
      <c r="G67" s="273">
        <v>570.21500000000003</v>
      </c>
      <c r="H67" s="274" t="s">
        <v>187</v>
      </c>
      <c r="I67" s="274" t="s">
        <v>289</v>
      </c>
      <c r="J67" s="274" t="s">
        <v>98</v>
      </c>
      <c r="K67" s="275" t="s">
        <v>2149</v>
      </c>
      <c r="L67" s="274" t="s">
        <v>2341</v>
      </c>
      <c r="M67" s="270"/>
      <c r="N67" s="270"/>
      <c r="O67" s="270"/>
    </row>
    <row r="68" spans="1:15" hidden="1">
      <c r="A68" s="269">
        <v>45674</v>
      </c>
      <c r="B68" s="270" t="s">
        <v>290</v>
      </c>
      <c r="C68" s="276" t="s">
        <v>179</v>
      </c>
      <c r="D68" s="271" t="s">
        <v>502</v>
      </c>
      <c r="E68" s="272">
        <v>100000</v>
      </c>
      <c r="F68" s="272">
        <v>175.37244723481493</v>
      </c>
      <c r="G68" s="273">
        <v>570.21500000000003</v>
      </c>
      <c r="H68" s="274" t="s">
        <v>187</v>
      </c>
      <c r="I68" s="274" t="s">
        <v>291</v>
      </c>
      <c r="J68" s="274" t="s">
        <v>98</v>
      </c>
      <c r="K68" s="275" t="s">
        <v>2149</v>
      </c>
      <c r="L68" s="274" t="s">
        <v>2341</v>
      </c>
      <c r="M68" s="270"/>
      <c r="N68" s="270"/>
      <c r="O68" s="270"/>
    </row>
    <row r="69" spans="1:15" hidden="1">
      <c r="A69" s="269">
        <v>45674</v>
      </c>
      <c r="B69" s="270" t="s">
        <v>292</v>
      </c>
      <c r="C69" s="276" t="s">
        <v>175</v>
      </c>
      <c r="D69" s="271" t="s">
        <v>502</v>
      </c>
      <c r="E69" s="272">
        <v>7000</v>
      </c>
      <c r="F69" s="272">
        <v>12.276071306437045</v>
      </c>
      <c r="G69" s="273">
        <v>570.21500000000003</v>
      </c>
      <c r="H69" s="274" t="s">
        <v>187</v>
      </c>
      <c r="I69" s="274" t="s">
        <v>293</v>
      </c>
      <c r="J69" s="274" t="s">
        <v>98</v>
      </c>
      <c r="K69" s="275" t="s">
        <v>2149</v>
      </c>
      <c r="L69" s="274" t="s">
        <v>2341</v>
      </c>
      <c r="M69" s="270"/>
      <c r="N69" s="270"/>
      <c r="O69" s="270"/>
    </row>
    <row r="70" spans="1:15" hidden="1">
      <c r="A70" s="269">
        <v>45674</v>
      </c>
      <c r="B70" s="270" t="s">
        <v>294</v>
      </c>
      <c r="C70" s="276" t="s">
        <v>179</v>
      </c>
      <c r="D70" s="271" t="s">
        <v>502</v>
      </c>
      <c r="E70" s="272">
        <v>30000</v>
      </c>
      <c r="F70" s="272">
        <v>52.611734170444478</v>
      </c>
      <c r="G70" s="273">
        <v>570.21500000000003</v>
      </c>
      <c r="H70" s="274" t="s">
        <v>187</v>
      </c>
      <c r="I70" s="274" t="s">
        <v>295</v>
      </c>
      <c r="J70" s="274" t="s">
        <v>98</v>
      </c>
      <c r="K70" s="275" t="s">
        <v>2149</v>
      </c>
      <c r="L70" s="274" t="s">
        <v>2341</v>
      </c>
      <c r="M70" s="270"/>
      <c r="N70" s="270"/>
      <c r="O70" s="270"/>
    </row>
    <row r="71" spans="1:15" hidden="1">
      <c r="A71" s="269">
        <v>45674</v>
      </c>
      <c r="B71" s="270" t="s">
        <v>296</v>
      </c>
      <c r="C71" s="276" t="s">
        <v>179</v>
      </c>
      <c r="D71" s="271" t="s">
        <v>502</v>
      </c>
      <c r="E71" s="272">
        <v>30000</v>
      </c>
      <c r="F71" s="272">
        <v>52.611734170444478</v>
      </c>
      <c r="G71" s="273">
        <v>570.21500000000003</v>
      </c>
      <c r="H71" s="274" t="s">
        <v>176</v>
      </c>
      <c r="I71" s="274" t="s">
        <v>297</v>
      </c>
      <c r="J71" s="274" t="s">
        <v>98</v>
      </c>
      <c r="K71" s="275" t="s">
        <v>2149</v>
      </c>
      <c r="L71" s="274" t="s">
        <v>2341</v>
      </c>
      <c r="M71" s="270"/>
      <c r="N71" s="270"/>
      <c r="O71" s="270"/>
    </row>
    <row r="72" spans="1:15" hidden="1">
      <c r="A72" s="269">
        <v>45674</v>
      </c>
      <c r="B72" s="270" t="s">
        <v>298</v>
      </c>
      <c r="C72" s="276" t="s">
        <v>175</v>
      </c>
      <c r="D72" s="271" t="s">
        <v>502</v>
      </c>
      <c r="E72" s="272">
        <v>7000</v>
      </c>
      <c r="F72" s="272">
        <v>12.276071306437045</v>
      </c>
      <c r="G72" s="273">
        <v>570.21500000000003</v>
      </c>
      <c r="H72" s="274" t="s">
        <v>176</v>
      </c>
      <c r="I72" s="274" t="s">
        <v>299</v>
      </c>
      <c r="J72" s="274" t="s">
        <v>98</v>
      </c>
      <c r="K72" s="275" t="s">
        <v>2149</v>
      </c>
      <c r="L72" s="274" t="s">
        <v>2341</v>
      </c>
      <c r="M72" s="270"/>
      <c r="N72" s="270"/>
      <c r="O72" s="270"/>
    </row>
    <row r="73" spans="1:15" hidden="1">
      <c r="A73" s="269">
        <v>45674</v>
      </c>
      <c r="B73" s="270" t="s">
        <v>300</v>
      </c>
      <c r="C73" s="276" t="s">
        <v>179</v>
      </c>
      <c r="D73" s="271" t="s">
        <v>117</v>
      </c>
      <c r="E73" s="272">
        <v>30000</v>
      </c>
      <c r="F73" s="272">
        <v>52.611734170444478</v>
      </c>
      <c r="G73" s="273">
        <v>570.21500000000003</v>
      </c>
      <c r="H73" s="274" t="s">
        <v>193</v>
      </c>
      <c r="I73" s="274" t="s">
        <v>301</v>
      </c>
      <c r="J73" s="274" t="s">
        <v>98</v>
      </c>
      <c r="K73" s="275" t="s">
        <v>2149</v>
      </c>
      <c r="L73" s="274" t="s">
        <v>2341</v>
      </c>
      <c r="M73" s="270"/>
      <c r="N73" s="270"/>
      <c r="O73" s="270"/>
    </row>
    <row r="74" spans="1:15" hidden="1">
      <c r="A74" s="269">
        <v>45674</v>
      </c>
      <c r="B74" s="270" t="s">
        <v>302</v>
      </c>
      <c r="C74" s="270" t="s">
        <v>327</v>
      </c>
      <c r="D74" s="271" t="s">
        <v>117</v>
      </c>
      <c r="E74" s="272">
        <v>12000</v>
      </c>
      <c r="F74" s="272">
        <v>21.044693668177793</v>
      </c>
      <c r="G74" s="273">
        <v>570.21500000000003</v>
      </c>
      <c r="H74" s="274" t="s">
        <v>196</v>
      </c>
      <c r="I74" s="274" t="s">
        <v>303</v>
      </c>
      <c r="J74" s="274" t="s">
        <v>98</v>
      </c>
      <c r="K74" s="275" t="s">
        <v>2149</v>
      </c>
      <c r="L74" s="274" t="s">
        <v>2341</v>
      </c>
      <c r="M74" s="270"/>
      <c r="N74" s="270"/>
      <c r="O74" s="270"/>
    </row>
    <row r="75" spans="1:15" hidden="1">
      <c r="A75" s="269">
        <v>45674</v>
      </c>
      <c r="B75" s="270" t="s">
        <v>304</v>
      </c>
      <c r="C75" s="276" t="s">
        <v>175</v>
      </c>
      <c r="D75" s="271" t="s">
        <v>117</v>
      </c>
      <c r="E75" s="272">
        <v>8000</v>
      </c>
      <c r="F75" s="272">
        <v>14.029795778785195</v>
      </c>
      <c r="G75" s="273">
        <v>570.21500000000003</v>
      </c>
      <c r="H75" s="274" t="s">
        <v>196</v>
      </c>
      <c r="I75" s="274" t="s">
        <v>305</v>
      </c>
      <c r="J75" s="274" t="s">
        <v>98</v>
      </c>
      <c r="K75" s="275" t="s">
        <v>2149</v>
      </c>
      <c r="L75" s="274" t="s">
        <v>2341</v>
      </c>
      <c r="M75" s="270"/>
      <c r="N75" s="270"/>
      <c r="O75" s="270"/>
    </row>
    <row r="76" spans="1:15" hidden="1">
      <c r="A76" s="269">
        <v>45674</v>
      </c>
      <c r="B76" s="270" t="s">
        <v>307</v>
      </c>
      <c r="C76" s="276" t="s">
        <v>179</v>
      </c>
      <c r="D76" s="270" t="s">
        <v>120</v>
      </c>
      <c r="E76" s="272">
        <v>105000</v>
      </c>
      <c r="F76" s="272">
        <v>184.14106959655567</v>
      </c>
      <c r="G76" s="273">
        <v>570.21500000000003</v>
      </c>
      <c r="H76" s="274" t="s">
        <v>217</v>
      </c>
      <c r="I76" s="274" t="s">
        <v>308</v>
      </c>
      <c r="J76" s="274" t="s">
        <v>98</v>
      </c>
      <c r="K76" s="275" t="s">
        <v>2149</v>
      </c>
      <c r="L76" s="274" t="s">
        <v>2341</v>
      </c>
      <c r="M76" s="270"/>
      <c r="N76" s="270"/>
      <c r="O76" s="270"/>
    </row>
    <row r="77" spans="1:15" hidden="1">
      <c r="A77" s="299">
        <v>45674</v>
      </c>
      <c r="B77" s="270" t="s">
        <v>103</v>
      </c>
      <c r="C77" s="270" t="s">
        <v>125</v>
      </c>
      <c r="D77" s="270"/>
      <c r="E77" s="300"/>
      <c r="F77" s="301"/>
      <c r="G77" s="302">
        <f>+M77/N77</f>
        <v>596.1932333333333</v>
      </c>
      <c r="H77" s="270" t="s">
        <v>148</v>
      </c>
      <c r="I77" s="270" t="s">
        <v>131</v>
      </c>
      <c r="J77" s="270" t="s">
        <v>98</v>
      </c>
      <c r="K77" s="270" t="s">
        <v>2149</v>
      </c>
      <c r="L77" s="270" t="s">
        <v>155</v>
      </c>
      <c r="M77" s="303">
        <v>17885797</v>
      </c>
      <c r="N77" s="270">
        <v>30000</v>
      </c>
      <c r="O77" s="270"/>
    </row>
    <row r="78" spans="1:15" hidden="1">
      <c r="A78" s="269">
        <v>45675</v>
      </c>
      <c r="B78" s="270" t="s">
        <v>309</v>
      </c>
      <c r="C78" s="276" t="s">
        <v>179</v>
      </c>
      <c r="D78" s="271" t="s">
        <v>117</v>
      </c>
      <c r="E78" s="272">
        <v>30000</v>
      </c>
      <c r="F78" s="272">
        <v>50.319275804982617</v>
      </c>
      <c r="G78" s="273">
        <v>596.19299999999998</v>
      </c>
      <c r="H78" s="274" t="s">
        <v>196</v>
      </c>
      <c r="I78" s="274" t="s">
        <v>310</v>
      </c>
      <c r="J78" s="274" t="s">
        <v>98</v>
      </c>
      <c r="K78" s="275" t="s">
        <v>2149</v>
      </c>
      <c r="L78" s="274" t="s">
        <v>2341</v>
      </c>
      <c r="M78" s="270"/>
      <c r="N78" s="270"/>
      <c r="O78" s="270"/>
    </row>
    <row r="79" spans="1:15" hidden="1">
      <c r="A79" s="269">
        <v>45676</v>
      </c>
      <c r="B79" s="270" t="s">
        <v>537</v>
      </c>
      <c r="C79" s="276" t="s">
        <v>175</v>
      </c>
      <c r="D79" s="271" t="s">
        <v>117</v>
      </c>
      <c r="E79" s="272">
        <v>7000</v>
      </c>
      <c r="F79" s="272">
        <v>12.276071306437045</v>
      </c>
      <c r="G79" s="273">
        <v>570.21500000000003</v>
      </c>
      <c r="H79" s="274" t="s">
        <v>200</v>
      </c>
      <c r="I79" s="274" t="s">
        <v>306</v>
      </c>
      <c r="J79" s="274" t="s">
        <v>98</v>
      </c>
      <c r="K79" s="275" t="s">
        <v>2149</v>
      </c>
      <c r="L79" s="274" t="s">
        <v>2341</v>
      </c>
      <c r="M79" s="270"/>
      <c r="N79" s="270"/>
      <c r="O79" s="270"/>
    </row>
    <row r="80" spans="1:15" hidden="1">
      <c r="A80" s="269">
        <v>45676</v>
      </c>
      <c r="B80" s="270" t="s">
        <v>311</v>
      </c>
      <c r="C80" s="276" t="s">
        <v>179</v>
      </c>
      <c r="D80" s="271" t="s">
        <v>117</v>
      </c>
      <c r="E80" s="272">
        <v>150000</v>
      </c>
      <c r="F80" s="272">
        <v>251.59637902491309</v>
      </c>
      <c r="G80" s="273">
        <v>596.19299999999998</v>
      </c>
      <c r="H80" s="274" t="s">
        <v>200</v>
      </c>
      <c r="I80" s="274" t="s">
        <v>312</v>
      </c>
      <c r="J80" s="274" t="s">
        <v>98</v>
      </c>
      <c r="K80" s="275" t="s">
        <v>2149</v>
      </c>
      <c r="L80" s="274" t="s">
        <v>2341</v>
      </c>
      <c r="M80" s="270"/>
      <c r="N80" s="270"/>
      <c r="O80" s="270"/>
    </row>
    <row r="81" spans="1:15" hidden="1">
      <c r="A81" s="269">
        <v>45676</v>
      </c>
      <c r="B81" s="270" t="s">
        <v>313</v>
      </c>
      <c r="C81" s="276" t="s">
        <v>175</v>
      </c>
      <c r="D81" s="271" t="s">
        <v>117</v>
      </c>
      <c r="E81" s="272">
        <v>12500</v>
      </c>
      <c r="F81" s="272">
        <v>20.966364918742755</v>
      </c>
      <c r="G81" s="273">
        <v>596.19299999999998</v>
      </c>
      <c r="H81" s="274" t="s">
        <v>200</v>
      </c>
      <c r="I81" s="274" t="s">
        <v>314</v>
      </c>
      <c r="J81" s="274" t="s">
        <v>98</v>
      </c>
      <c r="K81" s="275" t="s">
        <v>2149</v>
      </c>
      <c r="L81" s="274" t="s">
        <v>2341</v>
      </c>
      <c r="M81" s="270"/>
      <c r="N81" s="270"/>
      <c r="O81" s="270"/>
    </row>
    <row r="82" spans="1:15" hidden="1">
      <c r="A82" s="269">
        <v>45677</v>
      </c>
      <c r="B82" s="270" t="s">
        <v>538</v>
      </c>
      <c r="C82" s="276" t="s">
        <v>1321</v>
      </c>
      <c r="D82" s="270" t="s">
        <v>118</v>
      </c>
      <c r="E82" s="272">
        <v>195000</v>
      </c>
      <c r="F82" s="272">
        <v>327.07529273238703</v>
      </c>
      <c r="G82" s="273">
        <v>596.19299999999998</v>
      </c>
      <c r="H82" s="274" t="s">
        <v>157</v>
      </c>
      <c r="I82" s="274" t="s">
        <v>315</v>
      </c>
      <c r="J82" s="274" t="s">
        <v>98</v>
      </c>
      <c r="K82" s="275" t="s">
        <v>2149</v>
      </c>
      <c r="L82" s="274" t="s">
        <v>2341</v>
      </c>
      <c r="M82" s="270"/>
      <c r="N82" s="270"/>
      <c r="O82" s="270"/>
    </row>
    <row r="83" spans="1:15" hidden="1">
      <c r="A83" s="269">
        <v>45677</v>
      </c>
      <c r="B83" s="270" t="s">
        <v>316</v>
      </c>
      <c r="C83" s="276" t="s">
        <v>317</v>
      </c>
      <c r="D83" s="270" t="s">
        <v>118</v>
      </c>
      <c r="E83" s="272">
        <v>20000</v>
      </c>
      <c r="F83" s="272">
        <v>33.546183869988411</v>
      </c>
      <c r="G83" s="273">
        <v>596.19299999999998</v>
      </c>
      <c r="H83" s="274" t="s">
        <v>157</v>
      </c>
      <c r="I83" s="274" t="s">
        <v>318</v>
      </c>
      <c r="J83" s="274" t="s">
        <v>98</v>
      </c>
      <c r="K83" s="275" t="s">
        <v>2149</v>
      </c>
      <c r="L83" s="274" t="s">
        <v>2341</v>
      </c>
      <c r="M83" s="270"/>
      <c r="N83" s="270"/>
      <c r="O83" s="270"/>
    </row>
    <row r="84" spans="1:15" hidden="1">
      <c r="A84" s="269">
        <v>45678</v>
      </c>
      <c r="B84" s="270" t="s">
        <v>319</v>
      </c>
      <c r="C84" s="276" t="s">
        <v>175</v>
      </c>
      <c r="D84" s="271" t="s">
        <v>502</v>
      </c>
      <c r="E84" s="272">
        <v>7000</v>
      </c>
      <c r="F84" s="272">
        <v>11.741164354495943</v>
      </c>
      <c r="G84" s="273">
        <v>596.19299999999998</v>
      </c>
      <c r="H84" s="274" t="s">
        <v>176</v>
      </c>
      <c r="I84" s="274" t="s">
        <v>320</v>
      </c>
      <c r="J84" s="274" t="s">
        <v>98</v>
      </c>
      <c r="K84" s="275" t="s">
        <v>2149</v>
      </c>
      <c r="L84" s="274" t="s">
        <v>2341</v>
      </c>
      <c r="M84" s="270"/>
      <c r="N84" s="270"/>
      <c r="O84" s="270"/>
    </row>
    <row r="85" spans="1:15" hidden="1">
      <c r="A85" s="269">
        <v>45678</v>
      </c>
      <c r="B85" s="270" t="s">
        <v>321</v>
      </c>
      <c r="C85" s="270" t="s">
        <v>322</v>
      </c>
      <c r="D85" s="271" t="s">
        <v>502</v>
      </c>
      <c r="E85" s="272">
        <v>10000</v>
      </c>
      <c r="F85" s="272">
        <v>17.537244723481493</v>
      </c>
      <c r="G85" s="273">
        <v>570.21500000000003</v>
      </c>
      <c r="H85" s="274" t="s">
        <v>176</v>
      </c>
      <c r="I85" s="274" t="s">
        <v>323</v>
      </c>
      <c r="J85" s="274" t="s">
        <v>98</v>
      </c>
      <c r="K85" s="275" t="s">
        <v>2149</v>
      </c>
      <c r="L85" s="274" t="s">
        <v>2341</v>
      </c>
      <c r="M85" s="270"/>
      <c r="N85" s="270"/>
      <c r="O85" s="270"/>
    </row>
    <row r="86" spans="1:15" hidden="1">
      <c r="A86" s="269">
        <v>45678</v>
      </c>
      <c r="B86" s="270" t="s">
        <v>324</v>
      </c>
      <c r="C86" s="276" t="s">
        <v>1321</v>
      </c>
      <c r="D86" s="270" t="s">
        <v>2343</v>
      </c>
      <c r="E86" s="272">
        <v>24675</v>
      </c>
      <c r="F86" s="272">
        <v>43.273151355190585</v>
      </c>
      <c r="G86" s="273">
        <v>570.21500000000003</v>
      </c>
      <c r="H86" s="274" t="s">
        <v>190</v>
      </c>
      <c r="I86" s="274" t="s">
        <v>325</v>
      </c>
      <c r="J86" s="274" t="s">
        <v>98</v>
      </c>
      <c r="K86" s="275" t="s">
        <v>2149</v>
      </c>
      <c r="L86" s="274" t="s">
        <v>2341</v>
      </c>
      <c r="M86" s="270"/>
      <c r="N86" s="270"/>
      <c r="O86" s="270"/>
    </row>
    <row r="87" spans="1:15" hidden="1">
      <c r="A87" s="269">
        <v>45678</v>
      </c>
      <c r="B87" s="270" t="s">
        <v>326</v>
      </c>
      <c r="C87" s="270" t="s">
        <v>327</v>
      </c>
      <c r="D87" s="271" t="s">
        <v>117</v>
      </c>
      <c r="E87" s="272">
        <v>26000</v>
      </c>
      <c r="F87" s="272">
        <v>43.610039030984936</v>
      </c>
      <c r="G87" s="273">
        <v>596.19299999999998</v>
      </c>
      <c r="H87" s="274" t="s">
        <v>190</v>
      </c>
      <c r="I87" s="274" t="s">
        <v>328</v>
      </c>
      <c r="J87" s="274" t="s">
        <v>98</v>
      </c>
      <c r="K87" s="275" t="s">
        <v>2149</v>
      </c>
      <c r="L87" s="274" t="s">
        <v>2341</v>
      </c>
      <c r="M87" s="270"/>
      <c r="N87" s="270"/>
      <c r="O87" s="270"/>
    </row>
    <row r="88" spans="1:15" hidden="1">
      <c r="A88" s="269">
        <v>45678</v>
      </c>
      <c r="B88" s="270" t="s">
        <v>329</v>
      </c>
      <c r="C88" s="276" t="s">
        <v>2344</v>
      </c>
      <c r="D88" s="270" t="s">
        <v>120</v>
      </c>
      <c r="E88" s="272">
        <v>154000</v>
      </c>
      <c r="F88" s="272">
        <v>258.30561579891076</v>
      </c>
      <c r="G88" s="273">
        <v>596.19299999999998</v>
      </c>
      <c r="H88" s="274" t="s">
        <v>217</v>
      </c>
      <c r="I88" s="274" t="s">
        <v>330</v>
      </c>
      <c r="J88" s="274" t="s">
        <v>98</v>
      </c>
      <c r="K88" s="275" t="s">
        <v>2149</v>
      </c>
      <c r="L88" s="274" t="s">
        <v>2341</v>
      </c>
      <c r="M88" s="270"/>
      <c r="N88" s="270"/>
      <c r="O88" s="270"/>
    </row>
    <row r="89" spans="1:15" hidden="1">
      <c r="A89" s="269">
        <v>45679</v>
      </c>
      <c r="B89" s="270" t="s">
        <v>331</v>
      </c>
      <c r="C89" s="276" t="s">
        <v>179</v>
      </c>
      <c r="D89" s="271" t="s">
        <v>502</v>
      </c>
      <c r="E89" s="272">
        <v>80000</v>
      </c>
      <c r="F89" s="272">
        <v>134.18473547995364</v>
      </c>
      <c r="G89" s="273">
        <v>596.19299999999998</v>
      </c>
      <c r="H89" s="274" t="s">
        <v>332</v>
      </c>
      <c r="I89" s="274" t="s">
        <v>333</v>
      </c>
      <c r="J89" s="274" t="s">
        <v>98</v>
      </c>
      <c r="K89" s="275" t="s">
        <v>2149</v>
      </c>
      <c r="L89" s="274" t="s">
        <v>2341</v>
      </c>
      <c r="M89" s="270"/>
      <c r="N89" s="270"/>
      <c r="O89" s="270"/>
    </row>
    <row r="90" spans="1:15" hidden="1">
      <c r="A90" s="269">
        <v>45679</v>
      </c>
      <c r="B90" s="270" t="s">
        <v>334</v>
      </c>
      <c r="C90" s="276" t="s">
        <v>175</v>
      </c>
      <c r="D90" s="271" t="s">
        <v>502</v>
      </c>
      <c r="E90" s="272">
        <v>7000</v>
      </c>
      <c r="F90" s="272">
        <v>11.741164354495943</v>
      </c>
      <c r="G90" s="273">
        <v>596.19299999999998</v>
      </c>
      <c r="H90" s="274" t="s">
        <v>332</v>
      </c>
      <c r="I90" s="274" t="s">
        <v>335</v>
      </c>
      <c r="J90" s="274" t="s">
        <v>98</v>
      </c>
      <c r="K90" s="275" t="s">
        <v>2149</v>
      </c>
      <c r="L90" s="274" t="s">
        <v>2341</v>
      </c>
      <c r="M90" s="270"/>
      <c r="N90" s="270"/>
      <c r="O90" s="270"/>
    </row>
    <row r="91" spans="1:15" hidden="1">
      <c r="A91" s="269">
        <v>45679</v>
      </c>
      <c r="B91" s="270" t="s">
        <v>336</v>
      </c>
      <c r="C91" s="276" t="s">
        <v>175</v>
      </c>
      <c r="D91" s="271" t="s">
        <v>502</v>
      </c>
      <c r="E91" s="272">
        <v>7000</v>
      </c>
      <c r="F91" s="272">
        <v>11.741164354495943</v>
      </c>
      <c r="G91" s="273">
        <v>596.19299999999998</v>
      </c>
      <c r="H91" s="274" t="s">
        <v>187</v>
      </c>
      <c r="I91" s="274" t="s">
        <v>337</v>
      </c>
      <c r="J91" s="274" t="s">
        <v>98</v>
      </c>
      <c r="K91" s="275" t="s">
        <v>2149</v>
      </c>
      <c r="L91" s="274" t="s">
        <v>2341</v>
      </c>
      <c r="M91" s="270"/>
      <c r="N91" s="270"/>
      <c r="O91" s="270"/>
    </row>
    <row r="92" spans="1:15" hidden="1">
      <c r="A92" s="269">
        <v>45679</v>
      </c>
      <c r="B92" s="270" t="s">
        <v>338</v>
      </c>
      <c r="C92" s="276" t="s">
        <v>179</v>
      </c>
      <c r="D92" s="271" t="s">
        <v>502</v>
      </c>
      <c r="E92" s="272">
        <v>80000</v>
      </c>
      <c r="F92" s="272">
        <v>134.18473547995364</v>
      </c>
      <c r="G92" s="273">
        <v>596.19299999999998</v>
      </c>
      <c r="H92" s="274" t="s">
        <v>187</v>
      </c>
      <c r="I92" s="274" t="s">
        <v>339</v>
      </c>
      <c r="J92" s="274" t="s">
        <v>98</v>
      </c>
      <c r="K92" s="275" t="s">
        <v>2149</v>
      </c>
      <c r="L92" s="274" t="s">
        <v>2341</v>
      </c>
      <c r="M92" s="270"/>
      <c r="N92" s="270"/>
      <c r="O92" s="270"/>
    </row>
    <row r="93" spans="1:15" hidden="1">
      <c r="A93" s="269">
        <v>45679</v>
      </c>
      <c r="B93" s="270" t="s">
        <v>340</v>
      </c>
      <c r="C93" s="276" t="s">
        <v>179</v>
      </c>
      <c r="D93" s="271" t="s">
        <v>502</v>
      </c>
      <c r="E93" s="272">
        <v>80000</v>
      </c>
      <c r="F93" s="272">
        <v>134.18473547995364</v>
      </c>
      <c r="G93" s="273">
        <v>596.19299999999998</v>
      </c>
      <c r="H93" s="274" t="s">
        <v>176</v>
      </c>
      <c r="I93" s="274" t="s">
        <v>341</v>
      </c>
      <c r="J93" s="274" t="s">
        <v>98</v>
      </c>
      <c r="K93" s="275" t="s">
        <v>2149</v>
      </c>
      <c r="L93" s="274" t="s">
        <v>2341</v>
      </c>
      <c r="M93" s="270"/>
      <c r="N93" s="270"/>
      <c r="O93" s="270"/>
    </row>
    <row r="94" spans="1:15" hidden="1">
      <c r="A94" s="269">
        <v>45679</v>
      </c>
      <c r="B94" s="270" t="s">
        <v>342</v>
      </c>
      <c r="C94" s="276" t="s">
        <v>175</v>
      </c>
      <c r="D94" s="271" t="s">
        <v>502</v>
      </c>
      <c r="E94" s="272">
        <v>7000</v>
      </c>
      <c r="F94" s="272">
        <v>11.741164354495943</v>
      </c>
      <c r="G94" s="273">
        <v>596.19299999999998</v>
      </c>
      <c r="H94" s="274" t="s">
        <v>343</v>
      </c>
      <c r="I94" s="274" t="s">
        <v>344</v>
      </c>
      <c r="J94" s="274" t="s">
        <v>98</v>
      </c>
      <c r="K94" s="275" t="s">
        <v>2149</v>
      </c>
      <c r="L94" s="274" t="s">
        <v>2341</v>
      </c>
      <c r="M94" s="270"/>
      <c r="N94" s="270"/>
      <c r="O94" s="270"/>
    </row>
    <row r="95" spans="1:15" hidden="1">
      <c r="A95" s="269">
        <v>45679</v>
      </c>
      <c r="B95" s="270" t="s">
        <v>345</v>
      </c>
      <c r="C95" s="276" t="s">
        <v>179</v>
      </c>
      <c r="D95" s="271" t="s">
        <v>502</v>
      </c>
      <c r="E95" s="272">
        <v>80000</v>
      </c>
      <c r="F95" s="272">
        <v>134.18473547995364</v>
      </c>
      <c r="G95" s="273">
        <v>596.19299999999998</v>
      </c>
      <c r="H95" s="274" t="s">
        <v>343</v>
      </c>
      <c r="I95" s="274" t="s">
        <v>346</v>
      </c>
      <c r="J95" s="274" t="s">
        <v>98</v>
      </c>
      <c r="K95" s="275" t="s">
        <v>2149</v>
      </c>
      <c r="L95" s="274" t="s">
        <v>2341</v>
      </c>
      <c r="M95" s="270"/>
      <c r="N95" s="270"/>
      <c r="O95" s="270"/>
    </row>
    <row r="96" spans="1:15" hidden="1">
      <c r="A96" s="269">
        <v>45679</v>
      </c>
      <c r="B96" s="270" t="s">
        <v>347</v>
      </c>
      <c r="C96" s="276" t="s">
        <v>175</v>
      </c>
      <c r="D96" s="271" t="s">
        <v>117</v>
      </c>
      <c r="E96" s="272">
        <v>14500</v>
      </c>
      <c r="F96" s="272">
        <v>24.320983305741599</v>
      </c>
      <c r="G96" s="273">
        <v>596.19299999999998</v>
      </c>
      <c r="H96" s="274" t="s">
        <v>193</v>
      </c>
      <c r="I96" s="274" t="s">
        <v>348</v>
      </c>
      <c r="J96" s="274" t="s">
        <v>98</v>
      </c>
      <c r="K96" s="275" t="s">
        <v>2149</v>
      </c>
      <c r="L96" s="274" t="s">
        <v>2341</v>
      </c>
      <c r="M96" s="270"/>
      <c r="N96" s="270"/>
      <c r="O96" s="270"/>
    </row>
    <row r="97" spans="1:15" hidden="1">
      <c r="A97" s="269">
        <v>45679</v>
      </c>
      <c r="B97" s="270" t="s">
        <v>349</v>
      </c>
      <c r="C97" s="277" t="s">
        <v>2342</v>
      </c>
      <c r="D97" s="270" t="s">
        <v>118</v>
      </c>
      <c r="E97" s="272">
        <v>3330</v>
      </c>
      <c r="F97" s="272">
        <v>5.5854396143530707</v>
      </c>
      <c r="G97" s="273">
        <v>596.19299999999998</v>
      </c>
      <c r="H97" s="274" t="s">
        <v>193</v>
      </c>
      <c r="I97" s="274" t="s">
        <v>350</v>
      </c>
      <c r="J97" s="274" t="s">
        <v>98</v>
      </c>
      <c r="K97" s="275" t="s">
        <v>2149</v>
      </c>
      <c r="L97" s="274" t="s">
        <v>2341</v>
      </c>
      <c r="M97" s="270"/>
      <c r="N97" s="270"/>
      <c r="O97" s="270"/>
    </row>
    <row r="98" spans="1:15" hidden="1">
      <c r="A98" s="269">
        <v>45679</v>
      </c>
      <c r="B98" s="270" t="s">
        <v>351</v>
      </c>
      <c r="C98" s="276" t="s">
        <v>1321</v>
      </c>
      <c r="D98" s="270" t="s">
        <v>118</v>
      </c>
      <c r="E98" s="272">
        <v>7500</v>
      </c>
      <c r="F98" s="272">
        <v>12.579818951245654</v>
      </c>
      <c r="G98" s="273">
        <v>596.19299999999998</v>
      </c>
      <c r="H98" s="274" t="s">
        <v>196</v>
      </c>
      <c r="I98" s="274" t="s">
        <v>352</v>
      </c>
      <c r="J98" s="274" t="s">
        <v>98</v>
      </c>
      <c r="K98" s="275" t="s">
        <v>2149</v>
      </c>
      <c r="L98" s="274" t="s">
        <v>2341</v>
      </c>
      <c r="M98" s="270"/>
      <c r="N98" s="270"/>
      <c r="O98" s="270"/>
    </row>
    <row r="99" spans="1:15" hidden="1">
      <c r="A99" s="269">
        <v>45680</v>
      </c>
      <c r="B99" s="270" t="s">
        <v>353</v>
      </c>
      <c r="C99" s="270" t="s">
        <v>127</v>
      </c>
      <c r="D99" s="271" t="s">
        <v>117</v>
      </c>
      <c r="E99" s="272">
        <v>21000</v>
      </c>
      <c r="F99" s="272">
        <v>35.22349306348783</v>
      </c>
      <c r="G99" s="273">
        <v>596.19299999999998</v>
      </c>
      <c r="H99" s="274" t="s">
        <v>157</v>
      </c>
      <c r="I99" s="274" t="s">
        <v>354</v>
      </c>
      <c r="J99" s="274" t="s">
        <v>98</v>
      </c>
      <c r="K99" s="275" t="s">
        <v>2149</v>
      </c>
      <c r="L99" s="274" t="s">
        <v>2341</v>
      </c>
      <c r="M99" s="270"/>
      <c r="N99" s="270"/>
      <c r="O99" s="270"/>
    </row>
    <row r="100" spans="1:15" hidden="1">
      <c r="A100" s="269">
        <v>45680</v>
      </c>
      <c r="B100" s="270" t="s">
        <v>355</v>
      </c>
      <c r="C100" s="277" t="s">
        <v>2342</v>
      </c>
      <c r="D100" s="270" t="s">
        <v>118</v>
      </c>
      <c r="E100" s="272">
        <v>21030</v>
      </c>
      <c r="F100" s="272">
        <v>35.273812339292817</v>
      </c>
      <c r="G100" s="273">
        <v>596.19299999999998</v>
      </c>
      <c r="H100" s="274" t="s">
        <v>196</v>
      </c>
      <c r="I100" s="274" t="s">
        <v>356</v>
      </c>
      <c r="J100" s="274" t="s">
        <v>98</v>
      </c>
      <c r="K100" s="275" t="s">
        <v>2149</v>
      </c>
      <c r="L100" s="274" t="s">
        <v>2341</v>
      </c>
      <c r="M100" s="270"/>
      <c r="N100" s="270"/>
      <c r="O100" s="270"/>
    </row>
    <row r="101" spans="1:15" hidden="1">
      <c r="A101" s="269">
        <v>45680</v>
      </c>
      <c r="B101" s="270" t="s">
        <v>104</v>
      </c>
      <c r="C101" s="270" t="s">
        <v>127</v>
      </c>
      <c r="D101" s="271" t="s">
        <v>119</v>
      </c>
      <c r="E101" s="272">
        <v>1311000</v>
      </c>
      <c r="F101" s="272">
        <v>2198.9523526777402</v>
      </c>
      <c r="G101" s="273">
        <v>596.19299999999998</v>
      </c>
      <c r="H101" s="274" t="s">
        <v>148</v>
      </c>
      <c r="I101" s="274" t="s">
        <v>133</v>
      </c>
      <c r="J101" s="274" t="s">
        <v>98</v>
      </c>
      <c r="K101" s="275" t="s">
        <v>2149</v>
      </c>
      <c r="L101" s="274" t="s">
        <v>2341</v>
      </c>
      <c r="M101" s="270"/>
      <c r="N101" s="270"/>
      <c r="O101" s="270"/>
    </row>
    <row r="102" spans="1:15" hidden="1">
      <c r="A102" s="269">
        <v>45680</v>
      </c>
      <c r="B102" s="270" t="s">
        <v>105</v>
      </c>
      <c r="C102" s="270" t="s">
        <v>127</v>
      </c>
      <c r="D102" s="271" t="s">
        <v>117</v>
      </c>
      <c r="E102" s="272">
        <v>200000</v>
      </c>
      <c r="F102" s="272">
        <v>335.46183869988408</v>
      </c>
      <c r="G102" s="273">
        <v>596.19299999999998</v>
      </c>
      <c r="H102" s="274" t="s">
        <v>148</v>
      </c>
      <c r="I102" s="274" t="s">
        <v>134</v>
      </c>
      <c r="J102" s="274" t="s">
        <v>98</v>
      </c>
      <c r="K102" s="275" t="s">
        <v>2149</v>
      </c>
      <c r="L102" s="274" t="s">
        <v>2341</v>
      </c>
      <c r="M102" s="270"/>
      <c r="N102" s="270"/>
      <c r="O102" s="270"/>
    </row>
    <row r="103" spans="1:15" hidden="1">
      <c r="A103" s="269">
        <v>45680</v>
      </c>
      <c r="B103" s="270" t="s">
        <v>106</v>
      </c>
      <c r="C103" s="270" t="s">
        <v>127</v>
      </c>
      <c r="D103" s="270" t="s">
        <v>118</v>
      </c>
      <c r="E103" s="272">
        <v>551482</v>
      </c>
      <c r="F103" s="272">
        <v>925.00582864944738</v>
      </c>
      <c r="G103" s="273">
        <v>596.19299999999998</v>
      </c>
      <c r="H103" s="274" t="s">
        <v>148</v>
      </c>
      <c r="I103" s="274" t="s">
        <v>135</v>
      </c>
      <c r="J103" s="274" t="s">
        <v>98</v>
      </c>
      <c r="K103" s="275" t="s">
        <v>2149</v>
      </c>
      <c r="L103" s="274" t="s">
        <v>2341</v>
      </c>
      <c r="M103" s="270"/>
      <c r="N103" s="270"/>
      <c r="O103" s="270"/>
    </row>
    <row r="104" spans="1:15" hidden="1">
      <c r="A104" s="269">
        <v>45680</v>
      </c>
      <c r="B104" s="270" t="s">
        <v>107</v>
      </c>
      <c r="C104" s="270" t="s">
        <v>127</v>
      </c>
      <c r="D104" s="271" t="s">
        <v>117</v>
      </c>
      <c r="E104" s="272">
        <v>384789</v>
      </c>
      <c r="F104" s="272">
        <v>645.41012725744849</v>
      </c>
      <c r="G104" s="273">
        <v>596.19299999999998</v>
      </c>
      <c r="H104" s="274" t="s">
        <v>148</v>
      </c>
      <c r="I104" s="274" t="s">
        <v>136</v>
      </c>
      <c r="J104" s="274" t="s">
        <v>98</v>
      </c>
      <c r="K104" s="275" t="s">
        <v>2149</v>
      </c>
      <c r="L104" s="274" t="s">
        <v>2341</v>
      </c>
      <c r="M104" s="270"/>
      <c r="N104" s="270"/>
      <c r="O104" s="270"/>
    </row>
    <row r="105" spans="1:15" hidden="1">
      <c r="A105" s="269">
        <v>45680</v>
      </c>
      <c r="B105" s="270" t="s">
        <v>108</v>
      </c>
      <c r="C105" s="270" t="s">
        <v>127</v>
      </c>
      <c r="D105" s="271" t="s">
        <v>117</v>
      </c>
      <c r="E105" s="272">
        <v>336400</v>
      </c>
      <c r="F105" s="272">
        <v>564.24681269320502</v>
      </c>
      <c r="G105" s="273">
        <v>596.19299999999998</v>
      </c>
      <c r="H105" s="274" t="s">
        <v>148</v>
      </c>
      <c r="I105" s="274" t="s">
        <v>137</v>
      </c>
      <c r="J105" s="274" t="s">
        <v>98</v>
      </c>
      <c r="K105" s="275" t="s">
        <v>2149</v>
      </c>
      <c r="L105" s="274" t="s">
        <v>2341</v>
      </c>
      <c r="M105" s="270"/>
      <c r="N105" s="270"/>
      <c r="O105" s="270"/>
    </row>
    <row r="106" spans="1:15" hidden="1">
      <c r="A106" s="269">
        <v>45680</v>
      </c>
      <c r="B106" s="270" t="s">
        <v>109</v>
      </c>
      <c r="C106" s="270" t="s">
        <v>127</v>
      </c>
      <c r="D106" s="271" t="s">
        <v>117</v>
      </c>
      <c r="E106" s="272">
        <v>200000</v>
      </c>
      <c r="F106" s="272">
        <v>335.46183869988408</v>
      </c>
      <c r="G106" s="273">
        <v>596.19299999999998</v>
      </c>
      <c r="H106" s="274" t="s">
        <v>148</v>
      </c>
      <c r="I106" s="274" t="s">
        <v>138</v>
      </c>
      <c r="J106" s="274" t="s">
        <v>98</v>
      </c>
      <c r="K106" s="275" t="s">
        <v>2149</v>
      </c>
      <c r="L106" s="274" t="s">
        <v>2341</v>
      </c>
      <c r="M106" s="270"/>
      <c r="N106" s="270"/>
      <c r="O106" s="270"/>
    </row>
    <row r="107" spans="1:15" hidden="1">
      <c r="A107" s="269">
        <v>45680</v>
      </c>
      <c r="B107" s="270" t="s">
        <v>110</v>
      </c>
      <c r="C107" s="270" t="s">
        <v>127</v>
      </c>
      <c r="D107" s="271" t="s">
        <v>117</v>
      </c>
      <c r="E107" s="272">
        <v>200000</v>
      </c>
      <c r="F107" s="272">
        <v>335.46183869988408</v>
      </c>
      <c r="G107" s="273">
        <v>596.19299999999998</v>
      </c>
      <c r="H107" s="274" t="s">
        <v>148</v>
      </c>
      <c r="I107" s="274" t="s">
        <v>139</v>
      </c>
      <c r="J107" s="274" t="s">
        <v>98</v>
      </c>
      <c r="K107" s="275" t="s">
        <v>2149</v>
      </c>
      <c r="L107" s="274" t="s">
        <v>2341</v>
      </c>
      <c r="M107" s="270"/>
      <c r="N107" s="270"/>
      <c r="O107" s="270"/>
    </row>
    <row r="108" spans="1:15" hidden="1">
      <c r="A108" s="269">
        <v>45680</v>
      </c>
      <c r="B108" s="270" t="s">
        <v>111</v>
      </c>
      <c r="C108" s="270" t="s">
        <v>127</v>
      </c>
      <c r="D108" s="270" t="s">
        <v>120</v>
      </c>
      <c r="E108" s="272">
        <v>238140</v>
      </c>
      <c r="F108" s="272">
        <v>399.43441133995202</v>
      </c>
      <c r="G108" s="273">
        <v>596.19299999999998</v>
      </c>
      <c r="H108" s="274" t="s">
        <v>148</v>
      </c>
      <c r="I108" s="274" t="s">
        <v>140</v>
      </c>
      <c r="J108" s="274" t="s">
        <v>98</v>
      </c>
      <c r="K108" s="275" t="s">
        <v>2149</v>
      </c>
      <c r="L108" s="274" t="s">
        <v>2341</v>
      </c>
      <c r="M108" s="270"/>
      <c r="N108" s="270"/>
      <c r="O108" s="270"/>
    </row>
    <row r="109" spans="1:15" hidden="1">
      <c r="A109" s="269">
        <v>45681</v>
      </c>
      <c r="B109" s="270" t="s">
        <v>357</v>
      </c>
      <c r="C109" s="276" t="s">
        <v>175</v>
      </c>
      <c r="D109" s="271" t="s">
        <v>117</v>
      </c>
      <c r="E109" s="272">
        <v>7000</v>
      </c>
      <c r="F109" s="272">
        <v>11.741164354495943</v>
      </c>
      <c r="G109" s="273">
        <v>596.19299999999998</v>
      </c>
      <c r="H109" s="274" t="s">
        <v>203</v>
      </c>
      <c r="I109" s="274" t="s">
        <v>358</v>
      </c>
      <c r="J109" s="274" t="s">
        <v>98</v>
      </c>
      <c r="K109" s="275" t="s">
        <v>2149</v>
      </c>
      <c r="L109" s="274" t="s">
        <v>2341</v>
      </c>
      <c r="M109" s="270"/>
      <c r="N109" s="270"/>
      <c r="O109" s="270"/>
    </row>
    <row r="110" spans="1:15" hidden="1">
      <c r="A110" s="269">
        <v>45681</v>
      </c>
      <c r="B110" s="270" t="s">
        <v>359</v>
      </c>
      <c r="C110" s="276" t="s">
        <v>175</v>
      </c>
      <c r="D110" s="271" t="s">
        <v>502</v>
      </c>
      <c r="E110" s="272">
        <v>5000</v>
      </c>
      <c r="F110" s="272">
        <v>8.3865459674971028</v>
      </c>
      <c r="G110" s="273">
        <v>596.19299999999998</v>
      </c>
      <c r="H110" s="274" t="s">
        <v>332</v>
      </c>
      <c r="I110" s="274" t="s">
        <v>360</v>
      </c>
      <c r="J110" s="274" t="s">
        <v>98</v>
      </c>
      <c r="K110" s="275" t="s">
        <v>2149</v>
      </c>
      <c r="L110" s="274" t="s">
        <v>2341</v>
      </c>
      <c r="M110" s="270"/>
      <c r="N110" s="270"/>
      <c r="O110" s="270"/>
    </row>
    <row r="111" spans="1:15" hidden="1">
      <c r="A111" s="269">
        <v>45681</v>
      </c>
      <c r="B111" s="270" t="s">
        <v>361</v>
      </c>
      <c r="C111" s="276" t="s">
        <v>175</v>
      </c>
      <c r="D111" s="271" t="s">
        <v>502</v>
      </c>
      <c r="E111" s="272">
        <v>5000</v>
      </c>
      <c r="F111" s="272">
        <v>8.3865459674971028</v>
      </c>
      <c r="G111" s="273">
        <v>596.19299999999998</v>
      </c>
      <c r="H111" s="274" t="s">
        <v>332</v>
      </c>
      <c r="I111" s="274" t="s">
        <v>362</v>
      </c>
      <c r="J111" s="274" t="s">
        <v>98</v>
      </c>
      <c r="K111" s="275" t="s">
        <v>2149</v>
      </c>
      <c r="L111" s="274" t="s">
        <v>2341</v>
      </c>
      <c r="M111" s="270"/>
      <c r="N111" s="270"/>
      <c r="O111" s="270"/>
    </row>
    <row r="112" spans="1:15" hidden="1">
      <c r="A112" s="269">
        <v>45681</v>
      </c>
      <c r="B112" s="270" t="s">
        <v>363</v>
      </c>
      <c r="C112" s="276" t="s">
        <v>179</v>
      </c>
      <c r="D112" s="271" t="s">
        <v>502</v>
      </c>
      <c r="E112" s="272">
        <v>30000</v>
      </c>
      <c r="F112" s="272">
        <v>50.319275804982617</v>
      </c>
      <c r="G112" s="273">
        <v>596.19299999999998</v>
      </c>
      <c r="H112" s="274" t="s">
        <v>187</v>
      </c>
      <c r="I112" s="274" t="s">
        <v>364</v>
      </c>
      <c r="J112" s="274" t="s">
        <v>98</v>
      </c>
      <c r="K112" s="275" t="s">
        <v>2149</v>
      </c>
      <c r="L112" s="274" t="s">
        <v>2341</v>
      </c>
      <c r="M112" s="270"/>
      <c r="N112" s="270"/>
      <c r="O112" s="270"/>
    </row>
    <row r="113" spans="1:15" hidden="1">
      <c r="A113" s="269">
        <v>45681</v>
      </c>
      <c r="B113" s="270" t="s">
        <v>365</v>
      </c>
      <c r="C113" s="276" t="s">
        <v>175</v>
      </c>
      <c r="D113" s="271" t="s">
        <v>502</v>
      </c>
      <c r="E113" s="272">
        <v>6000</v>
      </c>
      <c r="F113" s="272">
        <v>10.063855160996523</v>
      </c>
      <c r="G113" s="273">
        <v>596.19299999999998</v>
      </c>
      <c r="H113" s="274" t="s">
        <v>187</v>
      </c>
      <c r="I113" s="274" t="s">
        <v>366</v>
      </c>
      <c r="J113" s="274" t="s">
        <v>98</v>
      </c>
      <c r="K113" s="275" t="s">
        <v>2149</v>
      </c>
      <c r="L113" s="274" t="s">
        <v>2341</v>
      </c>
      <c r="M113" s="270"/>
      <c r="N113" s="270"/>
      <c r="O113" s="270"/>
    </row>
    <row r="114" spans="1:15" hidden="1">
      <c r="A114" s="269">
        <v>45681</v>
      </c>
      <c r="B114" s="270" t="s">
        <v>367</v>
      </c>
      <c r="C114" s="276" t="s">
        <v>179</v>
      </c>
      <c r="D114" s="271" t="s">
        <v>502</v>
      </c>
      <c r="E114" s="272">
        <v>30000</v>
      </c>
      <c r="F114" s="272">
        <v>50.319275804982617</v>
      </c>
      <c r="G114" s="273">
        <v>596.19299999999998</v>
      </c>
      <c r="H114" s="274" t="s">
        <v>176</v>
      </c>
      <c r="I114" s="274" t="s">
        <v>368</v>
      </c>
      <c r="J114" s="274" t="s">
        <v>98</v>
      </c>
      <c r="K114" s="275" t="s">
        <v>2149</v>
      </c>
      <c r="L114" s="274" t="s">
        <v>2341</v>
      </c>
      <c r="M114" s="270"/>
      <c r="N114" s="270"/>
      <c r="O114" s="270"/>
    </row>
    <row r="115" spans="1:15" hidden="1">
      <c r="A115" s="269">
        <v>45681</v>
      </c>
      <c r="B115" s="270" t="s">
        <v>369</v>
      </c>
      <c r="C115" s="276" t="s">
        <v>175</v>
      </c>
      <c r="D115" s="271" t="s">
        <v>502</v>
      </c>
      <c r="E115" s="272">
        <v>15000</v>
      </c>
      <c r="F115" s="272">
        <v>25.159637902491308</v>
      </c>
      <c r="G115" s="273">
        <v>596.19299999999998</v>
      </c>
      <c r="H115" s="274" t="s">
        <v>176</v>
      </c>
      <c r="I115" s="274" t="s">
        <v>370</v>
      </c>
      <c r="J115" s="274" t="s">
        <v>98</v>
      </c>
      <c r="K115" s="275" t="s">
        <v>2149</v>
      </c>
      <c r="L115" s="274" t="s">
        <v>2341</v>
      </c>
      <c r="M115" s="270"/>
      <c r="N115" s="270"/>
      <c r="O115" s="270"/>
    </row>
    <row r="116" spans="1:15" hidden="1">
      <c r="A116" s="269">
        <v>45681</v>
      </c>
      <c r="B116" s="270" t="s">
        <v>371</v>
      </c>
      <c r="C116" s="276" t="s">
        <v>179</v>
      </c>
      <c r="D116" s="271" t="s">
        <v>502</v>
      </c>
      <c r="E116" s="272">
        <v>30000</v>
      </c>
      <c r="F116" s="272">
        <v>50.319275804982617</v>
      </c>
      <c r="G116" s="273">
        <v>596.19299999999998</v>
      </c>
      <c r="H116" s="274" t="s">
        <v>343</v>
      </c>
      <c r="I116" s="274" t="s">
        <v>372</v>
      </c>
      <c r="J116" s="274" t="s">
        <v>98</v>
      </c>
      <c r="K116" s="275" t="s">
        <v>2149</v>
      </c>
      <c r="L116" s="274" t="s">
        <v>2341</v>
      </c>
      <c r="M116" s="270"/>
      <c r="N116" s="270"/>
      <c r="O116" s="270"/>
    </row>
    <row r="117" spans="1:15" hidden="1">
      <c r="A117" s="269">
        <v>45681</v>
      </c>
      <c r="B117" s="270" t="s">
        <v>373</v>
      </c>
      <c r="C117" s="276" t="s">
        <v>175</v>
      </c>
      <c r="D117" s="271" t="s">
        <v>502</v>
      </c>
      <c r="E117" s="272">
        <v>8000</v>
      </c>
      <c r="F117" s="272">
        <v>13.418473547995363</v>
      </c>
      <c r="G117" s="273">
        <v>596.19299999999998</v>
      </c>
      <c r="H117" s="274" t="s">
        <v>343</v>
      </c>
      <c r="I117" s="274" t="s">
        <v>374</v>
      </c>
      <c r="J117" s="274" t="s">
        <v>98</v>
      </c>
      <c r="K117" s="275" t="s">
        <v>2149</v>
      </c>
      <c r="L117" s="274" t="s">
        <v>2341</v>
      </c>
      <c r="M117" s="270"/>
      <c r="N117" s="270"/>
      <c r="O117" s="270"/>
    </row>
    <row r="118" spans="1:15" hidden="1">
      <c r="A118" s="269">
        <v>45681</v>
      </c>
      <c r="B118" s="270" t="s">
        <v>375</v>
      </c>
      <c r="C118" s="276" t="s">
        <v>175</v>
      </c>
      <c r="D118" s="271" t="s">
        <v>117</v>
      </c>
      <c r="E118" s="272">
        <v>7000</v>
      </c>
      <c r="F118" s="272">
        <v>11.741164354495943</v>
      </c>
      <c r="G118" s="273">
        <v>596.19299999999998</v>
      </c>
      <c r="H118" s="274" t="s">
        <v>190</v>
      </c>
      <c r="I118" s="274" t="s">
        <v>325</v>
      </c>
      <c r="J118" s="274" t="s">
        <v>98</v>
      </c>
      <c r="K118" s="275" t="s">
        <v>2149</v>
      </c>
      <c r="L118" s="274" t="s">
        <v>2341</v>
      </c>
      <c r="M118" s="270"/>
      <c r="N118" s="270"/>
      <c r="O118" s="270"/>
    </row>
    <row r="119" spans="1:15" hidden="1">
      <c r="A119" s="269">
        <v>45682</v>
      </c>
      <c r="B119" s="270" t="s">
        <v>376</v>
      </c>
      <c r="C119" s="276" t="s">
        <v>179</v>
      </c>
      <c r="D119" s="271" t="s">
        <v>117</v>
      </c>
      <c r="E119" s="272">
        <v>150000</v>
      </c>
      <c r="F119" s="272">
        <v>251.59637902491309</v>
      </c>
      <c r="G119" s="273">
        <v>596.19299999999998</v>
      </c>
      <c r="H119" s="274" t="s">
        <v>203</v>
      </c>
      <c r="I119" s="274" t="s">
        <v>377</v>
      </c>
      <c r="J119" s="274" t="s">
        <v>98</v>
      </c>
      <c r="K119" s="275" t="s">
        <v>2149</v>
      </c>
      <c r="L119" s="274" t="s">
        <v>2341</v>
      </c>
      <c r="M119" s="270"/>
      <c r="N119" s="270"/>
      <c r="O119" s="270"/>
    </row>
    <row r="120" spans="1:15" hidden="1">
      <c r="A120" s="269">
        <v>45682</v>
      </c>
      <c r="B120" s="270" t="s">
        <v>378</v>
      </c>
      <c r="C120" s="276" t="s">
        <v>175</v>
      </c>
      <c r="D120" s="271" t="s">
        <v>117</v>
      </c>
      <c r="E120" s="272">
        <v>13500</v>
      </c>
      <c r="F120" s="272">
        <v>22.643674112242177</v>
      </c>
      <c r="G120" s="273">
        <v>596.19299999999998</v>
      </c>
      <c r="H120" s="274" t="s">
        <v>203</v>
      </c>
      <c r="I120" s="274" t="s">
        <v>379</v>
      </c>
      <c r="J120" s="274" t="s">
        <v>98</v>
      </c>
      <c r="K120" s="275" t="s">
        <v>2149</v>
      </c>
      <c r="L120" s="274" t="s">
        <v>2341</v>
      </c>
      <c r="M120" s="270"/>
      <c r="N120" s="270"/>
      <c r="O120" s="270"/>
    </row>
    <row r="121" spans="1:15" hidden="1">
      <c r="A121" s="269">
        <v>45682</v>
      </c>
      <c r="B121" s="270" t="s">
        <v>380</v>
      </c>
      <c r="C121" s="276" t="s">
        <v>179</v>
      </c>
      <c r="D121" s="271" t="s">
        <v>117</v>
      </c>
      <c r="E121" s="272">
        <v>240000</v>
      </c>
      <c r="F121" s="272">
        <v>402.55420643986093</v>
      </c>
      <c r="G121" s="273">
        <v>596.19299999999998</v>
      </c>
      <c r="H121" s="274" t="s">
        <v>190</v>
      </c>
      <c r="I121" s="274" t="s">
        <v>381</v>
      </c>
      <c r="J121" s="274" t="s">
        <v>98</v>
      </c>
      <c r="K121" s="275" t="s">
        <v>2149</v>
      </c>
      <c r="L121" s="274" t="s">
        <v>2341</v>
      </c>
      <c r="M121" s="270"/>
      <c r="N121" s="270"/>
      <c r="O121" s="270"/>
    </row>
    <row r="122" spans="1:15" hidden="1">
      <c r="A122" s="269">
        <v>45683</v>
      </c>
      <c r="B122" s="270" t="s">
        <v>382</v>
      </c>
      <c r="C122" s="276" t="s">
        <v>179</v>
      </c>
      <c r="D122" s="271" t="s">
        <v>502</v>
      </c>
      <c r="E122" s="272">
        <v>60000</v>
      </c>
      <c r="F122" s="272">
        <v>100.63855160996523</v>
      </c>
      <c r="G122" s="273">
        <v>596.19299999999998</v>
      </c>
      <c r="H122" s="274" t="s">
        <v>332</v>
      </c>
      <c r="I122" s="274" t="s">
        <v>383</v>
      </c>
      <c r="J122" s="274" t="s">
        <v>98</v>
      </c>
      <c r="K122" s="275" t="s">
        <v>2149</v>
      </c>
      <c r="L122" s="274" t="s">
        <v>2341</v>
      </c>
      <c r="M122" s="270"/>
      <c r="N122" s="270"/>
      <c r="O122" s="270"/>
    </row>
    <row r="123" spans="1:15" hidden="1">
      <c r="A123" s="269">
        <v>45683</v>
      </c>
      <c r="B123" s="270" t="s">
        <v>384</v>
      </c>
      <c r="C123" s="276" t="s">
        <v>175</v>
      </c>
      <c r="D123" s="271" t="s">
        <v>502</v>
      </c>
      <c r="E123" s="272">
        <v>3000</v>
      </c>
      <c r="F123" s="272">
        <v>5.0319275804982615</v>
      </c>
      <c r="G123" s="273">
        <v>596.19299999999998</v>
      </c>
      <c r="H123" s="274" t="s">
        <v>332</v>
      </c>
      <c r="I123" s="274" t="s">
        <v>385</v>
      </c>
      <c r="J123" s="274" t="s">
        <v>98</v>
      </c>
      <c r="K123" s="275" t="s">
        <v>2149</v>
      </c>
      <c r="L123" s="274" t="s">
        <v>2341</v>
      </c>
      <c r="M123" s="270"/>
      <c r="N123" s="270"/>
      <c r="O123" s="270"/>
    </row>
    <row r="124" spans="1:15" hidden="1">
      <c r="A124" s="269">
        <v>45683</v>
      </c>
      <c r="B124" s="270" t="s">
        <v>386</v>
      </c>
      <c r="C124" s="276" t="s">
        <v>179</v>
      </c>
      <c r="D124" s="271" t="s">
        <v>502</v>
      </c>
      <c r="E124" s="272">
        <v>30000</v>
      </c>
      <c r="F124" s="272">
        <v>50.319275804982617</v>
      </c>
      <c r="G124" s="273">
        <v>596.19299999999998</v>
      </c>
      <c r="H124" s="274" t="s">
        <v>187</v>
      </c>
      <c r="I124" s="274" t="s">
        <v>387</v>
      </c>
      <c r="J124" s="274" t="s">
        <v>98</v>
      </c>
      <c r="K124" s="275" t="s">
        <v>2149</v>
      </c>
      <c r="L124" s="274" t="s">
        <v>2341</v>
      </c>
      <c r="M124" s="270"/>
      <c r="N124" s="270"/>
      <c r="O124" s="270"/>
    </row>
    <row r="125" spans="1:15" hidden="1">
      <c r="A125" s="269">
        <v>45683</v>
      </c>
      <c r="B125" s="270" t="s">
        <v>388</v>
      </c>
      <c r="C125" s="276" t="s">
        <v>175</v>
      </c>
      <c r="D125" s="271" t="s">
        <v>502</v>
      </c>
      <c r="E125" s="272">
        <v>6000</v>
      </c>
      <c r="F125" s="272">
        <v>10.063855160996523</v>
      </c>
      <c r="G125" s="273">
        <v>596.19299999999998</v>
      </c>
      <c r="H125" s="274" t="s">
        <v>187</v>
      </c>
      <c r="I125" s="274" t="s">
        <v>389</v>
      </c>
      <c r="J125" s="274" t="s">
        <v>98</v>
      </c>
      <c r="K125" s="275" t="s">
        <v>2149</v>
      </c>
      <c r="L125" s="274" t="s">
        <v>2341</v>
      </c>
      <c r="M125" s="270"/>
      <c r="N125" s="270"/>
      <c r="O125" s="270"/>
    </row>
    <row r="126" spans="1:15" hidden="1">
      <c r="A126" s="269">
        <v>45683</v>
      </c>
      <c r="B126" s="270" t="s">
        <v>390</v>
      </c>
      <c r="C126" s="276" t="s">
        <v>175</v>
      </c>
      <c r="D126" s="271" t="s">
        <v>502</v>
      </c>
      <c r="E126" s="272">
        <v>5000</v>
      </c>
      <c r="F126" s="272">
        <v>8.3865459674971028</v>
      </c>
      <c r="G126" s="273">
        <v>596.19299999999998</v>
      </c>
      <c r="H126" s="274" t="s">
        <v>187</v>
      </c>
      <c r="I126" s="274" t="s">
        <v>391</v>
      </c>
      <c r="J126" s="274" t="s">
        <v>98</v>
      </c>
      <c r="K126" s="275" t="s">
        <v>2149</v>
      </c>
      <c r="L126" s="274" t="s">
        <v>2341</v>
      </c>
      <c r="M126" s="270"/>
      <c r="N126" s="270"/>
      <c r="O126" s="270"/>
    </row>
    <row r="127" spans="1:15" hidden="1">
      <c r="A127" s="269">
        <v>45683</v>
      </c>
      <c r="B127" s="270" t="s">
        <v>392</v>
      </c>
      <c r="C127" s="276" t="s">
        <v>179</v>
      </c>
      <c r="D127" s="271" t="s">
        <v>502</v>
      </c>
      <c r="E127" s="272">
        <v>30000</v>
      </c>
      <c r="F127" s="272">
        <v>50.319275804982617</v>
      </c>
      <c r="G127" s="273">
        <v>596.19299999999998</v>
      </c>
      <c r="H127" s="274" t="s">
        <v>176</v>
      </c>
      <c r="I127" s="274" t="s">
        <v>393</v>
      </c>
      <c r="J127" s="274" t="s">
        <v>98</v>
      </c>
      <c r="K127" s="275" t="s">
        <v>2149</v>
      </c>
      <c r="L127" s="274" t="s">
        <v>2341</v>
      </c>
      <c r="M127" s="270"/>
      <c r="N127" s="270"/>
      <c r="O127" s="270"/>
    </row>
    <row r="128" spans="1:15" hidden="1">
      <c r="A128" s="269">
        <v>45683</v>
      </c>
      <c r="B128" s="270" t="s">
        <v>394</v>
      </c>
      <c r="C128" s="276" t="s">
        <v>175</v>
      </c>
      <c r="D128" s="271" t="s">
        <v>502</v>
      </c>
      <c r="E128" s="272">
        <v>7000</v>
      </c>
      <c r="F128" s="272">
        <v>11.741164354495943</v>
      </c>
      <c r="G128" s="273">
        <v>596.19299999999998</v>
      </c>
      <c r="H128" s="274" t="s">
        <v>176</v>
      </c>
      <c r="I128" s="274" t="s">
        <v>395</v>
      </c>
      <c r="J128" s="274" t="s">
        <v>98</v>
      </c>
      <c r="K128" s="275" t="s">
        <v>2149</v>
      </c>
      <c r="L128" s="274" t="s">
        <v>2341</v>
      </c>
      <c r="M128" s="270"/>
      <c r="N128" s="270"/>
      <c r="O128" s="270"/>
    </row>
    <row r="129" spans="1:15" hidden="1">
      <c r="A129" s="269">
        <v>45683</v>
      </c>
      <c r="B129" s="270" t="s">
        <v>396</v>
      </c>
      <c r="C129" s="276" t="s">
        <v>179</v>
      </c>
      <c r="D129" s="271" t="s">
        <v>502</v>
      </c>
      <c r="E129" s="272">
        <v>30000</v>
      </c>
      <c r="F129" s="272">
        <v>50.319275804982617</v>
      </c>
      <c r="G129" s="273">
        <v>596.19299999999998</v>
      </c>
      <c r="H129" s="274" t="s">
        <v>343</v>
      </c>
      <c r="I129" s="274" t="s">
        <v>397</v>
      </c>
      <c r="J129" s="274" t="s">
        <v>98</v>
      </c>
      <c r="K129" s="275" t="s">
        <v>2149</v>
      </c>
      <c r="L129" s="274" t="s">
        <v>2341</v>
      </c>
      <c r="M129" s="270"/>
      <c r="N129" s="270"/>
      <c r="O129" s="270"/>
    </row>
    <row r="130" spans="1:15" hidden="1">
      <c r="A130" s="269">
        <v>45683</v>
      </c>
      <c r="B130" s="270" t="s">
        <v>398</v>
      </c>
      <c r="C130" s="276" t="s">
        <v>175</v>
      </c>
      <c r="D130" s="271" t="s">
        <v>502</v>
      </c>
      <c r="E130" s="272">
        <v>5000</v>
      </c>
      <c r="F130" s="272">
        <v>8.3865459674971028</v>
      </c>
      <c r="G130" s="273">
        <v>596.19299999999998</v>
      </c>
      <c r="H130" s="274" t="s">
        <v>343</v>
      </c>
      <c r="I130" s="274" t="s">
        <v>399</v>
      </c>
      <c r="J130" s="274" t="s">
        <v>98</v>
      </c>
      <c r="K130" s="275" t="s">
        <v>2149</v>
      </c>
      <c r="L130" s="274" t="s">
        <v>2341</v>
      </c>
      <c r="M130" s="270"/>
      <c r="N130" s="270"/>
      <c r="O130" s="270"/>
    </row>
    <row r="131" spans="1:15" hidden="1">
      <c r="A131" s="269">
        <v>45684</v>
      </c>
      <c r="B131" s="270" t="s">
        <v>400</v>
      </c>
      <c r="C131" s="270" t="s">
        <v>127</v>
      </c>
      <c r="D131" s="271" t="s">
        <v>117</v>
      </c>
      <c r="E131" s="272">
        <v>127070</v>
      </c>
      <c r="F131" s="272">
        <v>213.13567921797136</v>
      </c>
      <c r="G131" s="273">
        <v>596.19299999999998</v>
      </c>
      <c r="H131" s="274" t="s">
        <v>157</v>
      </c>
      <c r="I131" s="274" t="s">
        <v>401</v>
      </c>
      <c r="J131" s="274" t="s">
        <v>98</v>
      </c>
      <c r="K131" s="275" t="s">
        <v>2149</v>
      </c>
      <c r="L131" s="274" t="s">
        <v>2341</v>
      </c>
      <c r="M131" s="270"/>
      <c r="N131" s="270"/>
      <c r="O131" s="270"/>
    </row>
    <row r="132" spans="1:15" hidden="1">
      <c r="A132" s="269">
        <v>45684</v>
      </c>
      <c r="B132" s="270" t="s">
        <v>402</v>
      </c>
      <c r="C132" s="276" t="s">
        <v>403</v>
      </c>
      <c r="D132" s="271" t="s">
        <v>502</v>
      </c>
      <c r="E132" s="272">
        <v>17500</v>
      </c>
      <c r="F132" s="272">
        <v>30.690178266092612</v>
      </c>
      <c r="G132" s="273">
        <v>570.21500000000003</v>
      </c>
      <c r="H132" s="274" t="s">
        <v>332</v>
      </c>
      <c r="I132" s="274" t="s">
        <v>404</v>
      </c>
      <c r="J132" s="274" t="s">
        <v>98</v>
      </c>
      <c r="K132" s="275" t="s">
        <v>2149</v>
      </c>
      <c r="L132" s="274" t="s">
        <v>2341</v>
      </c>
      <c r="M132" s="270"/>
      <c r="N132" s="270"/>
      <c r="O132" s="270"/>
    </row>
    <row r="133" spans="1:15" hidden="1">
      <c r="A133" s="269">
        <v>45684</v>
      </c>
      <c r="B133" s="270" t="s">
        <v>405</v>
      </c>
      <c r="C133" s="276" t="s">
        <v>403</v>
      </c>
      <c r="D133" s="271" t="s">
        <v>502</v>
      </c>
      <c r="E133" s="272">
        <v>6000</v>
      </c>
      <c r="F133" s="272">
        <v>10.522346834088896</v>
      </c>
      <c r="G133" s="273">
        <v>570.21500000000003</v>
      </c>
      <c r="H133" s="274" t="s">
        <v>343</v>
      </c>
      <c r="I133" s="274" t="s">
        <v>407</v>
      </c>
      <c r="J133" s="274" t="s">
        <v>98</v>
      </c>
      <c r="K133" s="275" t="s">
        <v>2149</v>
      </c>
      <c r="L133" s="274" t="s">
        <v>2341</v>
      </c>
      <c r="M133" s="270"/>
      <c r="N133" s="270"/>
      <c r="O133" s="270"/>
    </row>
    <row r="134" spans="1:15" hidden="1">
      <c r="A134" s="269">
        <v>45684</v>
      </c>
      <c r="B134" s="270" t="s">
        <v>408</v>
      </c>
      <c r="C134" s="270" t="s">
        <v>127</v>
      </c>
      <c r="D134" s="271" t="s">
        <v>117</v>
      </c>
      <c r="E134" s="272">
        <v>30000</v>
      </c>
      <c r="F134" s="272">
        <v>50.319275804982617</v>
      </c>
      <c r="G134" s="273">
        <v>596.19299999999998</v>
      </c>
      <c r="H134" s="274" t="s">
        <v>200</v>
      </c>
      <c r="I134" s="274" t="s">
        <v>409</v>
      </c>
      <c r="J134" s="274" t="s">
        <v>98</v>
      </c>
      <c r="K134" s="275" t="s">
        <v>2149</v>
      </c>
      <c r="L134" s="274" t="s">
        <v>2341</v>
      </c>
      <c r="M134" s="270"/>
      <c r="N134" s="270"/>
      <c r="O134" s="270"/>
    </row>
    <row r="135" spans="1:15" hidden="1">
      <c r="A135" s="269">
        <v>45684</v>
      </c>
      <c r="B135" s="270" t="s">
        <v>410</v>
      </c>
      <c r="C135" s="270" t="s">
        <v>272</v>
      </c>
      <c r="D135" s="270" t="s">
        <v>2343</v>
      </c>
      <c r="E135" s="272">
        <v>30000</v>
      </c>
      <c r="F135" s="272">
        <v>52.611734170444478</v>
      </c>
      <c r="G135" s="273">
        <v>570.21500000000003</v>
      </c>
      <c r="H135" s="274" t="s">
        <v>200</v>
      </c>
      <c r="I135" s="274" t="s">
        <v>411</v>
      </c>
      <c r="J135" s="274" t="s">
        <v>98</v>
      </c>
      <c r="K135" s="275" t="s">
        <v>2149</v>
      </c>
      <c r="L135" s="274" t="s">
        <v>2341</v>
      </c>
      <c r="M135" s="270"/>
      <c r="N135" s="270"/>
      <c r="O135" s="270"/>
    </row>
    <row r="136" spans="1:15" hidden="1">
      <c r="A136" s="269">
        <v>45685</v>
      </c>
      <c r="B136" s="270" t="s">
        <v>412</v>
      </c>
      <c r="C136" s="270" t="s">
        <v>127</v>
      </c>
      <c r="D136" s="271" t="s">
        <v>119</v>
      </c>
      <c r="E136" s="272">
        <v>150000</v>
      </c>
      <c r="F136" s="272">
        <v>251.59637902491309</v>
      </c>
      <c r="G136" s="273">
        <v>596.19299999999998</v>
      </c>
      <c r="H136" s="274" t="s">
        <v>153</v>
      </c>
      <c r="I136" s="274" t="s">
        <v>413</v>
      </c>
      <c r="J136" s="274" t="s">
        <v>98</v>
      </c>
      <c r="K136" s="275" t="s">
        <v>2149</v>
      </c>
      <c r="L136" s="274" t="s">
        <v>2341</v>
      </c>
      <c r="M136" s="270"/>
      <c r="N136" s="270"/>
      <c r="O136" s="270"/>
    </row>
    <row r="137" spans="1:15" hidden="1">
      <c r="A137" s="269">
        <v>45685</v>
      </c>
      <c r="B137" s="270" t="s">
        <v>414</v>
      </c>
      <c r="C137" s="276" t="s">
        <v>179</v>
      </c>
      <c r="D137" s="271" t="s">
        <v>502</v>
      </c>
      <c r="E137" s="272">
        <v>30000</v>
      </c>
      <c r="F137" s="272">
        <v>50.319275804982617</v>
      </c>
      <c r="G137" s="273">
        <v>596.19299999999998</v>
      </c>
      <c r="H137" s="274" t="s">
        <v>332</v>
      </c>
      <c r="I137" s="274" t="s">
        <v>415</v>
      </c>
      <c r="J137" s="274" t="s">
        <v>98</v>
      </c>
      <c r="K137" s="275" t="s">
        <v>2149</v>
      </c>
      <c r="L137" s="274" t="s">
        <v>2341</v>
      </c>
      <c r="M137" s="270"/>
      <c r="N137" s="270"/>
      <c r="O137" s="270"/>
    </row>
    <row r="138" spans="1:15" hidden="1">
      <c r="A138" s="269">
        <v>45685</v>
      </c>
      <c r="B138" s="270" t="s">
        <v>416</v>
      </c>
      <c r="C138" s="276" t="s">
        <v>175</v>
      </c>
      <c r="D138" s="271" t="s">
        <v>502</v>
      </c>
      <c r="E138" s="272">
        <v>2000</v>
      </c>
      <c r="F138" s="272">
        <v>3.3546183869988409</v>
      </c>
      <c r="G138" s="273">
        <v>596.19299999999998</v>
      </c>
      <c r="H138" s="274" t="s">
        <v>332</v>
      </c>
      <c r="I138" s="274" t="s">
        <v>417</v>
      </c>
      <c r="J138" s="274" t="s">
        <v>98</v>
      </c>
      <c r="K138" s="275" t="s">
        <v>2149</v>
      </c>
      <c r="L138" s="274" t="s">
        <v>2341</v>
      </c>
      <c r="M138" s="270"/>
      <c r="N138" s="270"/>
      <c r="O138" s="270"/>
    </row>
    <row r="139" spans="1:15" hidden="1">
      <c r="A139" s="269">
        <v>45685</v>
      </c>
      <c r="B139" s="270" t="s">
        <v>418</v>
      </c>
      <c r="C139" s="276" t="s">
        <v>179</v>
      </c>
      <c r="D139" s="271" t="s">
        <v>502</v>
      </c>
      <c r="E139" s="272">
        <v>30000</v>
      </c>
      <c r="F139" s="272">
        <v>50.319275804982617</v>
      </c>
      <c r="G139" s="273">
        <v>596.19299999999998</v>
      </c>
      <c r="H139" s="274" t="s">
        <v>187</v>
      </c>
      <c r="I139" s="274" t="s">
        <v>419</v>
      </c>
      <c r="J139" s="274" t="s">
        <v>98</v>
      </c>
      <c r="K139" s="275" t="s">
        <v>2149</v>
      </c>
      <c r="L139" s="274" t="s">
        <v>2341</v>
      </c>
      <c r="M139" s="270"/>
      <c r="N139" s="270"/>
      <c r="O139" s="270"/>
    </row>
    <row r="140" spans="1:15" hidden="1">
      <c r="A140" s="269">
        <v>45685</v>
      </c>
      <c r="B140" s="270" t="s">
        <v>420</v>
      </c>
      <c r="C140" s="276" t="s">
        <v>175</v>
      </c>
      <c r="D140" s="271" t="s">
        <v>502</v>
      </c>
      <c r="E140" s="272">
        <v>5000</v>
      </c>
      <c r="F140" s="272">
        <v>8.3865459674971028</v>
      </c>
      <c r="G140" s="273">
        <v>596.19299999999998</v>
      </c>
      <c r="H140" s="274" t="s">
        <v>187</v>
      </c>
      <c r="I140" s="274" t="s">
        <v>421</v>
      </c>
      <c r="J140" s="274" t="s">
        <v>98</v>
      </c>
      <c r="K140" s="275" t="s">
        <v>2149</v>
      </c>
      <c r="L140" s="274" t="s">
        <v>2341</v>
      </c>
      <c r="M140" s="270"/>
      <c r="N140" s="270"/>
      <c r="O140" s="270"/>
    </row>
    <row r="141" spans="1:15" hidden="1">
      <c r="A141" s="269">
        <v>45685</v>
      </c>
      <c r="B141" s="270" t="s">
        <v>422</v>
      </c>
      <c r="C141" s="276" t="s">
        <v>179</v>
      </c>
      <c r="D141" s="271" t="s">
        <v>502</v>
      </c>
      <c r="E141" s="272">
        <v>30000</v>
      </c>
      <c r="F141" s="272">
        <v>50.319275804982617</v>
      </c>
      <c r="G141" s="273">
        <v>596.19299999999998</v>
      </c>
      <c r="H141" s="274" t="s">
        <v>176</v>
      </c>
      <c r="I141" s="274" t="s">
        <v>423</v>
      </c>
      <c r="J141" s="274" t="s">
        <v>98</v>
      </c>
      <c r="K141" s="275" t="s">
        <v>2149</v>
      </c>
      <c r="L141" s="274" t="s">
        <v>2341</v>
      </c>
      <c r="M141" s="270"/>
      <c r="N141" s="270"/>
      <c r="O141" s="270"/>
    </row>
    <row r="142" spans="1:15" hidden="1">
      <c r="A142" s="269">
        <v>45685</v>
      </c>
      <c r="B142" s="270" t="s">
        <v>424</v>
      </c>
      <c r="C142" s="276" t="s">
        <v>175</v>
      </c>
      <c r="D142" s="271" t="s">
        <v>502</v>
      </c>
      <c r="E142" s="272">
        <v>5000</v>
      </c>
      <c r="F142" s="272">
        <v>8.3865459674971028</v>
      </c>
      <c r="G142" s="273">
        <v>596.19299999999998</v>
      </c>
      <c r="H142" s="274" t="s">
        <v>176</v>
      </c>
      <c r="I142" s="274" t="s">
        <v>425</v>
      </c>
      <c r="J142" s="274" t="s">
        <v>98</v>
      </c>
      <c r="K142" s="275" t="s">
        <v>2149</v>
      </c>
      <c r="L142" s="274" t="s">
        <v>2341</v>
      </c>
      <c r="M142" s="270"/>
      <c r="N142" s="270"/>
      <c r="O142" s="270"/>
    </row>
    <row r="143" spans="1:15" hidden="1">
      <c r="A143" s="269">
        <v>45685</v>
      </c>
      <c r="B143" s="270" t="s">
        <v>426</v>
      </c>
      <c r="C143" s="276" t="s">
        <v>179</v>
      </c>
      <c r="D143" s="271" t="s">
        <v>502</v>
      </c>
      <c r="E143" s="272">
        <v>30000</v>
      </c>
      <c r="F143" s="272">
        <v>50.319275804982617</v>
      </c>
      <c r="G143" s="273">
        <v>596.19299999999998</v>
      </c>
      <c r="H143" s="274" t="s">
        <v>343</v>
      </c>
      <c r="I143" s="274" t="s">
        <v>427</v>
      </c>
      <c r="J143" s="274" t="s">
        <v>98</v>
      </c>
      <c r="K143" s="275" t="s">
        <v>2149</v>
      </c>
      <c r="L143" s="274" t="s">
        <v>2341</v>
      </c>
      <c r="M143" s="270"/>
      <c r="N143" s="270"/>
      <c r="O143" s="270"/>
    </row>
    <row r="144" spans="1:15" hidden="1">
      <c r="A144" s="269">
        <v>45685</v>
      </c>
      <c r="B144" s="270" t="s">
        <v>428</v>
      </c>
      <c r="C144" s="276" t="s">
        <v>175</v>
      </c>
      <c r="D144" s="271" t="s">
        <v>502</v>
      </c>
      <c r="E144" s="272">
        <v>5000</v>
      </c>
      <c r="F144" s="272">
        <v>8.3865459674971028</v>
      </c>
      <c r="G144" s="273">
        <v>596.19299999999998</v>
      </c>
      <c r="H144" s="274" t="s">
        <v>343</v>
      </c>
      <c r="I144" s="274" t="s">
        <v>429</v>
      </c>
      <c r="J144" s="274" t="s">
        <v>98</v>
      </c>
      <c r="K144" s="275" t="s">
        <v>2149</v>
      </c>
      <c r="L144" s="274" t="s">
        <v>2341</v>
      </c>
      <c r="M144" s="270"/>
      <c r="N144" s="270"/>
      <c r="O144" s="270"/>
    </row>
    <row r="145" spans="1:15" hidden="1">
      <c r="A145" s="269">
        <v>45685</v>
      </c>
      <c r="B145" s="270" t="s">
        <v>430</v>
      </c>
      <c r="C145" s="276" t="s">
        <v>1321</v>
      </c>
      <c r="D145" s="270" t="s">
        <v>118</v>
      </c>
      <c r="E145" s="272">
        <v>62500</v>
      </c>
      <c r="F145" s="272">
        <v>104.83182459371379</v>
      </c>
      <c r="G145" s="273">
        <v>596.19299999999998</v>
      </c>
      <c r="H145" s="274" t="s">
        <v>196</v>
      </c>
      <c r="I145" s="274" t="s">
        <v>431</v>
      </c>
      <c r="J145" s="274" t="s">
        <v>98</v>
      </c>
      <c r="K145" s="275" t="s">
        <v>2149</v>
      </c>
      <c r="L145" s="274" t="s">
        <v>2341</v>
      </c>
      <c r="M145" s="270"/>
      <c r="N145" s="270"/>
      <c r="O145" s="270"/>
    </row>
    <row r="146" spans="1:15" hidden="1">
      <c r="A146" s="269">
        <v>45685</v>
      </c>
      <c r="B146" s="270" t="s">
        <v>112</v>
      </c>
      <c r="C146" s="270" t="s">
        <v>128</v>
      </c>
      <c r="D146" s="270" t="s">
        <v>118</v>
      </c>
      <c r="E146" s="272">
        <v>10665</v>
      </c>
      <c r="F146" s="272">
        <v>17.888502548671319</v>
      </c>
      <c r="G146" s="273">
        <v>596.19299999999998</v>
      </c>
      <c r="H146" s="274" t="s">
        <v>148</v>
      </c>
      <c r="I146" s="274" t="s">
        <v>141</v>
      </c>
      <c r="J146" s="274" t="s">
        <v>98</v>
      </c>
      <c r="K146" s="275" t="s">
        <v>2149</v>
      </c>
      <c r="L146" s="274" t="s">
        <v>2341</v>
      </c>
      <c r="M146" s="270"/>
      <c r="N146" s="270"/>
      <c r="O146" s="270"/>
    </row>
    <row r="147" spans="1:15" hidden="1">
      <c r="A147" s="269">
        <v>45686</v>
      </c>
      <c r="B147" s="270" t="s">
        <v>432</v>
      </c>
      <c r="C147" s="276" t="s">
        <v>317</v>
      </c>
      <c r="D147" s="270" t="s">
        <v>118</v>
      </c>
      <c r="E147" s="272">
        <v>75625</v>
      </c>
      <c r="F147" s="272">
        <v>126.84650775839368</v>
      </c>
      <c r="G147" s="273">
        <v>596.19299999999998</v>
      </c>
      <c r="H147" s="274" t="s">
        <v>157</v>
      </c>
      <c r="I147" s="274" t="s">
        <v>433</v>
      </c>
      <c r="J147" s="274" t="s">
        <v>98</v>
      </c>
      <c r="K147" s="275" t="s">
        <v>2149</v>
      </c>
      <c r="L147" s="274" t="s">
        <v>2341</v>
      </c>
      <c r="M147" s="270"/>
      <c r="N147" s="270"/>
      <c r="O147" s="270"/>
    </row>
    <row r="148" spans="1:15" hidden="1">
      <c r="A148" s="269">
        <v>45686</v>
      </c>
      <c r="B148" s="270" t="s">
        <v>434</v>
      </c>
      <c r="C148" s="276" t="s">
        <v>179</v>
      </c>
      <c r="D148" s="271" t="s">
        <v>502</v>
      </c>
      <c r="E148" s="272">
        <v>15000</v>
      </c>
      <c r="F148" s="272">
        <v>25.159637902491308</v>
      </c>
      <c r="G148" s="273">
        <v>596.19299999999998</v>
      </c>
      <c r="H148" s="274" t="s">
        <v>187</v>
      </c>
      <c r="I148" s="274" t="s">
        <v>435</v>
      </c>
      <c r="J148" s="274" t="s">
        <v>98</v>
      </c>
      <c r="K148" s="275" t="s">
        <v>2149</v>
      </c>
      <c r="L148" s="274" t="s">
        <v>2341</v>
      </c>
      <c r="M148" s="270"/>
      <c r="N148" s="270"/>
      <c r="O148" s="270"/>
    </row>
    <row r="149" spans="1:15" hidden="1">
      <c r="A149" s="269">
        <v>45686</v>
      </c>
      <c r="B149" s="270" t="s">
        <v>436</v>
      </c>
      <c r="C149" s="276" t="s">
        <v>175</v>
      </c>
      <c r="D149" s="271" t="s">
        <v>502</v>
      </c>
      <c r="E149" s="272">
        <v>3000</v>
      </c>
      <c r="F149" s="272">
        <v>5.0319275804982615</v>
      </c>
      <c r="G149" s="273">
        <v>596.19299999999998</v>
      </c>
      <c r="H149" s="274" t="s">
        <v>187</v>
      </c>
      <c r="I149" s="274" t="s">
        <v>437</v>
      </c>
      <c r="J149" s="274" t="s">
        <v>98</v>
      </c>
      <c r="K149" s="275" t="s">
        <v>2149</v>
      </c>
      <c r="L149" s="274" t="s">
        <v>2341</v>
      </c>
      <c r="M149" s="270"/>
      <c r="N149" s="270"/>
      <c r="O149" s="270"/>
    </row>
    <row r="150" spans="1:15" hidden="1">
      <c r="A150" s="269">
        <v>45686</v>
      </c>
      <c r="B150" s="270" t="s">
        <v>438</v>
      </c>
      <c r="C150" s="276" t="s">
        <v>403</v>
      </c>
      <c r="D150" s="271" t="s">
        <v>502</v>
      </c>
      <c r="E150" s="272">
        <v>70200</v>
      </c>
      <c r="F150" s="272">
        <v>123.11145795884008</v>
      </c>
      <c r="G150" s="273">
        <v>570.21500000000003</v>
      </c>
      <c r="H150" s="274" t="s">
        <v>187</v>
      </c>
      <c r="I150" s="274" t="s">
        <v>439</v>
      </c>
      <c r="J150" s="274" t="s">
        <v>98</v>
      </c>
      <c r="K150" s="275" t="s">
        <v>2149</v>
      </c>
      <c r="L150" s="274" t="s">
        <v>2341</v>
      </c>
      <c r="M150" s="270"/>
      <c r="N150" s="270"/>
      <c r="O150" s="270"/>
    </row>
    <row r="151" spans="1:15" hidden="1">
      <c r="A151" s="269">
        <v>45686</v>
      </c>
      <c r="B151" s="270" t="s">
        <v>440</v>
      </c>
      <c r="C151" s="276" t="s">
        <v>175</v>
      </c>
      <c r="D151" s="271" t="s">
        <v>502</v>
      </c>
      <c r="E151" s="272">
        <v>2500</v>
      </c>
      <c r="F151" s="272">
        <v>4.1932729837485514</v>
      </c>
      <c r="G151" s="273">
        <v>596.19299999999998</v>
      </c>
      <c r="H151" s="274" t="s">
        <v>176</v>
      </c>
      <c r="I151" s="274" t="s">
        <v>441</v>
      </c>
      <c r="J151" s="274" t="s">
        <v>98</v>
      </c>
      <c r="K151" s="275" t="s">
        <v>2149</v>
      </c>
      <c r="L151" s="274" t="s">
        <v>2341</v>
      </c>
      <c r="M151" s="270"/>
      <c r="N151" s="270"/>
      <c r="O151" s="270"/>
    </row>
    <row r="152" spans="1:15" hidden="1">
      <c r="A152" s="269">
        <v>45686</v>
      </c>
      <c r="B152" s="270" t="s">
        <v>442</v>
      </c>
      <c r="C152" s="276" t="s">
        <v>179</v>
      </c>
      <c r="D152" s="271" t="s">
        <v>502</v>
      </c>
      <c r="E152" s="272">
        <v>15000</v>
      </c>
      <c r="F152" s="272">
        <v>25.159637902491308</v>
      </c>
      <c r="G152" s="273">
        <v>596.19299999999998</v>
      </c>
      <c r="H152" s="274" t="s">
        <v>176</v>
      </c>
      <c r="I152" s="274" t="s">
        <v>443</v>
      </c>
      <c r="J152" s="274" t="s">
        <v>98</v>
      </c>
      <c r="K152" s="275" t="s">
        <v>2149</v>
      </c>
      <c r="L152" s="274" t="s">
        <v>2341</v>
      </c>
      <c r="M152" s="270"/>
      <c r="N152" s="270"/>
      <c r="O152" s="270"/>
    </row>
    <row r="153" spans="1:15" hidden="1">
      <c r="A153" s="269">
        <v>45686</v>
      </c>
      <c r="B153" s="270" t="s">
        <v>444</v>
      </c>
      <c r="C153" s="276" t="s">
        <v>403</v>
      </c>
      <c r="D153" s="271" t="s">
        <v>502</v>
      </c>
      <c r="E153" s="272">
        <v>32000</v>
      </c>
      <c r="F153" s="272">
        <v>56.119183115140778</v>
      </c>
      <c r="G153" s="273">
        <v>570.21500000000003</v>
      </c>
      <c r="H153" s="274" t="s">
        <v>176</v>
      </c>
      <c r="I153" s="274" t="s">
        <v>445</v>
      </c>
      <c r="J153" s="274" t="s">
        <v>98</v>
      </c>
      <c r="K153" s="275" t="s">
        <v>2149</v>
      </c>
      <c r="L153" s="274" t="s">
        <v>2341</v>
      </c>
      <c r="M153" s="270"/>
      <c r="N153" s="270"/>
      <c r="O153" s="270"/>
    </row>
    <row r="154" spans="1:15" hidden="1">
      <c r="A154" s="269">
        <v>45686</v>
      </c>
      <c r="B154" s="270" t="s">
        <v>446</v>
      </c>
      <c r="C154" s="276" t="s">
        <v>179</v>
      </c>
      <c r="D154" s="271" t="s">
        <v>502</v>
      </c>
      <c r="E154" s="272">
        <v>15000</v>
      </c>
      <c r="F154" s="272">
        <v>25.159637902491308</v>
      </c>
      <c r="G154" s="273">
        <v>596.19299999999998</v>
      </c>
      <c r="H154" s="274" t="s">
        <v>343</v>
      </c>
      <c r="I154" s="274" t="s">
        <v>447</v>
      </c>
      <c r="J154" s="274" t="s">
        <v>98</v>
      </c>
      <c r="K154" s="275" t="s">
        <v>2149</v>
      </c>
      <c r="L154" s="274" t="s">
        <v>2341</v>
      </c>
      <c r="M154" s="270"/>
      <c r="N154" s="270"/>
      <c r="O154" s="270"/>
    </row>
    <row r="155" spans="1:15" hidden="1">
      <c r="A155" s="269">
        <v>45686</v>
      </c>
      <c r="B155" s="270" t="s">
        <v>448</v>
      </c>
      <c r="C155" s="276" t="s">
        <v>175</v>
      </c>
      <c r="D155" s="271" t="s">
        <v>502</v>
      </c>
      <c r="E155" s="272">
        <v>3000</v>
      </c>
      <c r="F155" s="272">
        <v>5.0319275804982615</v>
      </c>
      <c r="G155" s="273">
        <v>596.19299999999998</v>
      </c>
      <c r="H155" s="274" t="s">
        <v>343</v>
      </c>
      <c r="I155" s="274" t="s">
        <v>449</v>
      </c>
      <c r="J155" s="274" t="s">
        <v>98</v>
      </c>
      <c r="K155" s="275" t="s">
        <v>2149</v>
      </c>
      <c r="L155" s="274" t="s">
        <v>2341</v>
      </c>
      <c r="M155" s="270"/>
      <c r="N155" s="270"/>
      <c r="O155" s="270"/>
    </row>
    <row r="156" spans="1:15" hidden="1">
      <c r="A156" s="269">
        <v>45686</v>
      </c>
      <c r="B156" s="270" t="s">
        <v>450</v>
      </c>
      <c r="C156" s="276" t="s">
        <v>179</v>
      </c>
      <c r="D156" s="271" t="s">
        <v>502</v>
      </c>
      <c r="E156" s="272">
        <v>15000</v>
      </c>
      <c r="F156" s="272">
        <v>25.159637902491308</v>
      </c>
      <c r="G156" s="273">
        <v>596.19299999999998</v>
      </c>
      <c r="H156" s="274" t="s">
        <v>343</v>
      </c>
      <c r="I156" s="274" t="s">
        <v>451</v>
      </c>
      <c r="J156" s="274" t="s">
        <v>98</v>
      </c>
      <c r="K156" s="275" t="s">
        <v>2149</v>
      </c>
      <c r="L156" s="274" t="s">
        <v>2341</v>
      </c>
      <c r="M156" s="270"/>
      <c r="N156" s="270"/>
      <c r="O156" s="270"/>
    </row>
    <row r="157" spans="1:15" hidden="1">
      <c r="A157" s="269">
        <v>45687</v>
      </c>
      <c r="B157" s="270" t="s">
        <v>452</v>
      </c>
      <c r="C157" s="276" t="s">
        <v>179</v>
      </c>
      <c r="D157" s="271" t="s">
        <v>502</v>
      </c>
      <c r="E157" s="272">
        <v>30000</v>
      </c>
      <c r="F157" s="272">
        <v>50.319275804982617</v>
      </c>
      <c r="G157" s="273">
        <v>596.19299999999998</v>
      </c>
      <c r="H157" s="274" t="s">
        <v>332</v>
      </c>
      <c r="I157" s="274" t="s">
        <v>453</v>
      </c>
      <c r="J157" s="274" t="s">
        <v>98</v>
      </c>
      <c r="K157" s="275" t="s">
        <v>2149</v>
      </c>
      <c r="L157" s="274" t="s">
        <v>2341</v>
      </c>
      <c r="M157" s="270"/>
      <c r="N157" s="270"/>
      <c r="O157" s="270"/>
    </row>
    <row r="158" spans="1:15" hidden="1">
      <c r="A158" s="269">
        <v>45687</v>
      </c>
      <c r="B158" s="270" t="s">
        <v>454</v>
      </c>
      <c r="C158" s="276" t="s">
        <v>175</v>
      </c>
      <c r="D158" s="271" t="s">
        <v>502</v>
      </c>
      <c r="E158" s="272">
        <v>7000</v>
      </c>
      <c r="F158" s="272">
        <v>11.741164354495943</v>
      </c>
      <c r="G158" s="273">
        <v>596.19299999999998</v>
      </c>
      <c r="H158" s="274" t="s">
        <v>332</v>
      </c>
      <c r="I158" s="274" t="s">
        <v>455</v>
      </c>
      <c r="J158" s="274" t="s">
        <v>98</v>
      </c>
      <c r="K158" s="275" t="s">
        <v>2149</v>
      </c>
      <c r="L158" s="274" t="s">
        <v>2341</v>
      </c>
      <c r="M158" s="270"/>
      <c r="N158" s="270"/>
      <c r="O158" s="270"/>
    </row>
    <row r="159" spans="1:15" hidden="1">
      <c r="A159" s="269">
        <v>45687</v>
      </c>
      <c r="B159" s="270" t="s">
        <v>456</v>
      </c>
      <c r="C159" s="276" t="s">
        <v>175</v>
      </c>
      <c r="D159" s="271" t="s">
        <v>502</v>
      </c>
      <c r="E159" s="272">
        <v>39300</v>
      </c>
      <c r="F159" s="272">
        <v>65.918251304527232</v>
      </c>
      <c r="G159" s="273">
        <v>596.19299999999998</v>
      </c>
      <c r="H159" s="274" t="s">
        <v>332</v>
      </c>
      <c r="I159" s="274" t="s">
        <v>457</v>
      </c>
      <c r="J159" s="274" t="s">
        <v>98</v>
      </c>
      <c r="K159" s="275" t="s">
        <v>2149</v>
      </c>
      <c r="L159" s="274" t="s">
        <v>2341</v>
      </c>
      <c r="M159" s="270"/>
      <c r="N159" s="270"/>
      <c r="O159" s="270"/>
    </row>
    <row r="160" spans="1:15" hidden="1">
      <c r="A160" s="269">
        <v>45687</v>
      </c>
      <c r="B160" s="270" t="s">
        <v>458</v>
      </c>
      <c r="C160" s="276" t="s">
        <v>175</v>
      </c>
      <c r="D160" s="271" t="s">
        <v>502</v>
      </c>
      <c r="E160" s="272">
        <v>7000</v>
      </c>
      <c r="F160" s="272">
        <v>11.741164354495943</v>
      </c>
      <c r="G160" s="273">
        <v>596.19299999999998</v>
      </c>
      <c r="H160" s="274" t="s">
        <v>187</v>
      </c>
      <c r="I160" s="274" t="s">
        <v>459</v>
      </c>
      <c r="J160" s="274" t="s">
        <v>98</v>
      </c>
      <c r="K160" s="275" t="s">
        <v>2149</v>
      </c>
      <c r="L160" s="274" t="s">
        <v>2341</v>
      </c>
      <c r="M160" s="270"/>
      <c r="N160" s="270"/>
      <c r="O160" s="270"/>
    </row>
    <row r="161" spans="1:15" hidden="1">
      <c r="A161" s="269">
        <v>45687</v>
      </c>
      <c r="B161" s="270" t="s">
        <v>460</v>
      </c>
      <c r="C161" s="276" t="s">
        <v>179</v>
      </c>
      <c r="D161" s="271" t="s">
        <v>502</v>
      </c>
      <c r="E161" s="272">
        <v>15000</v>
      </c>
      <c r="F161" s="272">
        <v>25.159637902491308</v>
      </c>
      <c r="G161" s="273">
        <v>596.19299999999998</v>
      </c>
      <c r="H161" s="274" t="s">
        <v>187</v>
      </c>
      <c r="I161" s="274" t="s">
        <v>461</v>
      </c>
      <c r="J161" s="274" t="s">
        <v>98</v>
      </c>
      <c r="K161" s="275" t="s">
        <v>2149</v>
      </c>
      <c r="L161" s="274" t="s">
        <v>2341</v>
      </c>
      <c r="M161" s="270"/>
      <c r="N161" s="270"/>
      <c r="O161" s="270"/>
    </row>
    <row r="162" spans="1:15" hidden="1">
      <c r="A162" s="269">
        <v>45687</v>
      </c>
      <c r="B162" s="270" t="s">
        <v>462</v>
      </c>
      <c r="C162" s="276" t="s">
        <v>175</v>
      </c>
      <c r="D162" s="271" t="s">
        <v>502</v>
      </c>
      <c r="E162" s="272">
        <v>54800</v>
      </c>
      <c r="F162" s="272">
        <v>91.916543803768249</v>
      </c>
      <c r="G162" s="273">
        <v>596.19299999999998</v>
      </c>
      <c r="H162" s="274" t="s">
        <v>187</v>
      </c>
      <c r="I162" s="274" t="s">
        <v>463</v>
      </c>
      <c r="J162" s="274" t="s">
        <v>98</v>
      </c>
      <c r="K162" s="275" t="s">
        <v>2149</v>
      </c>
      <c r="L162" s="274" t="s">
        <v>2341</v>
      </c>
      <c r="M162" s="270"/>
      <c r="N162" s="270"/>
      <c r="O162" s="270"/>
    </row>
    <row r="163" spans="1:15" hidden="1">
      <c r="A163" s="269">
        <v>45687</v>
      </c>
      <c r="B163" s="270" t="s">
        <v>464</v>
      </c>
      <c r="C163" s="276" t="s">
        <v>179</v>
      </c>
      <c r="D163" s="271" t="s">
        <v>502</v>
      </c>
      <c r="E163" s="272">
        <v>15000</v>
      </c>
      <c r="F163" s="272">
        <v>25.159637902491308</v>
      </c>
      <c r="G163" s="273">
        <v>596.19299999999998</v>
      </c>
      <c r="H163" s="274" t="s">
        <v>176</v>
      </c>
      <c r="I163" s="274" t="s">
        <v>465</v>
      </c>
      <c r="J163" s="274" t="s">
        <v>98</v>
      </c>
      <c r="K163" s="275" t="s">
        <v>2149</v>
      </c>
      <c r="L163" s="274" t="s">
        <v>2341</v>
      </c>
      <c r="M163" s="270"/>
      <c r="N163" s="270"/>
      <c r="O163" s="270"/>
    </row>
    <row r="164" spans="1:15" hidden="1">
      <c r="A164" s="269">
        <v>45687</v>
      </c>
      <c r="B164" s="270" t="s">
        <v>466</v>
      </c>
      <c r="C164" s="276" t="s">
        <v>175</v>
      </c>
      <c r="D164" s="271" t="s">
        <v>502</v>
      </c>
      <c r="E164" s="272">
        <v>8000</v>
      </c>
      <c r="F164" s="272">
        <v>13.418473547995363</v>
      </c>
      <c r="G164" s="273">
        <v>596.19299999999998</v>
      </c>
      <c r="H164" s="274" t="s">
        <v>176</v>
      </c>
      <c r="I164" s="274" t="s">
        <v>467</v>
      </c>
      <c r="J164" s="274" t="s">
        <v>98</v>
      </c>
      <c r="K164" s="275" t="s">
        <v>2149</v>
      </c>
      <c r="L164" s="274" t="s">
        <v>2341</v>
      </c>
      <c r="M164" s="270"/>
      <c r="N164" s="270"/>
      <c r="O164" s="270"/>
    </row>
    <row r="165" spans="1:15" hidden="1">
      <c r="A165" s="269">
        <v>45687</v>
      </c>
      <c r="B165" s="270" t="s">
        <v>468</v>
      </c>
      <c r="C165" s="276" t="s">
        <v>175</v>
      </c>
      <c r="D165" s="271" t="s">
        <v>502</v>
      </c>
      <c r="E165" s="272">
        <v>63400</v>
      </c>
      <c r="F165" s="272">
        <v>106.34140286786327</v>
      </c>
      <c r="G165" s="273">
        <v>596.19299999999998</v>
      </c>
      <c r="H165" s="274" t="s">
        <v>176</v>
      </c>
      <c r="I165" s="274" t="s">
        <v>469</v>
      </c>
      <c r="J165" s="274" t="s">
        <v>98</v>
      </c>
      <c r="K165" s="275" t="s">
        <v>2149</v>
      </c>
      <c r="L165" s="274" t="s">
        <v>2341</v>
      </c>
      <c r="M165" s="270"/>
      <c r="N165" s="270"/>
      <c r="O165" s="270"/>
    </row>
    <row r="166" spans="1:15" hidden="1">
      <c r="A166" s="269">
        <v>45687</v>
      </c>
      <c r="B166" s="270" t="s">
        <v>470</v>
      </c>
      <c r="C166" s="276" t="s">
        <v>175</v>
      </c>
      <c r="D166" s="271" t="s">
        <v>502</v>
      </c>
      <c r="E166" s="272">
        <v>8000</v>
      </c>
      <c r="F166" s="272">
        <v>13.418473547995363</v>
      </c>
      <c r="G166" s="273">
        <v>596.19299999999998</v>
      </c>
      <c r="H166" s="274" t="s">
        <v>343</v>
      </c>
      <c r="I166" s="274" t="s">
        <v>471</v>
      </c>
      <c r="J166" s="274" t="s">
        <v>98</v>
      </c>
      <c r="K166" s="275" t="s">
        <v>2149</v>
      </c>
      <c r="L166" s="274" t="s">
        <v>2341</v>
      </c>
      <c r="M166" s="270"/>
      <c r="N166" s="270"/>
      <c r="O166" s="270"/>
    </row>
    <row r="167" spans="1:15" hidden="1">
      <c r="A167" s="269">
        <v>45687</v>
      </c>
      <c r="B167" s="270" t="s">
        <v>472</v>
      </c>
      <c r="C167" s="276" t="s">
        <v>175</v>
      </c>
      <c r="D167" s="271" t="s">
        <v>502</v>
      </c>
      <c r="E167" s="272">
        <v>38500</v>
      </c>
      <c r="F167" s="272">
        <v>64.576403949727691</v>
      </c>
      <c r="G167" s="273">
        <v>596.19299999999998</v>
      </c>
      <c r="H167" s="274" t="s">
        <v>343</v>
      </c>
      <c r="I167" s="274" t="s">
        <v>473</v>
      </c>
      <c r="J167" s="274" t="s">
        <v>98</v>
      </c>
      <c r="K167" s="275" t="s">
        <v>2149</v>
      </c>
      <c r="L167" s="274" t="s">
        <v>2341</v>
      </c>
      <c r="M167" s="270"/>
      <c r="N167" s="270"/>
      <c r="O167" s="270"/>
    </row>
    <row r="168" spans="1:15" hidden="1">
      <c r="A168" s="269">
        <v>45687</v>
      </c>
      <c r="B168" s="270" t="s">
        <v>474</v>
      </c>
      <c r="C168" s="276" t="s">
        <v>175</v>
      </c>
      <c r="D168" s="271" t="s">
        <v>117</v>
      </c>
      <c r="E168" s="272">
        <v>33500</v>
      </c>
      <c r="F168" s="272">
        <v>56.189857982230585</v>
      </c>
      <c r="G168" s="273">
        <v>596.19299999999998</v>
      </c>
      <c r="H168" s="274" t="s">
        <v>196</v>
      </c>
      <c r="I168" s="274" t="s">
        <v>475</v>
      </c>
      <c r="J168" s="274" t="s">
        <v>98</v>
      </c>
      <c r="K168" s="275" t="s">
        <v>2149</v>
      </c>
      <c r="L168" s="274" t="s">
        <v>2341</v>
      </c>
      <c r="M168" s="270"/>
      <c r="N168" s="270"/>
      <c r="O168" s="270"/>
    </row>
    <row r="169" spans="1:15" hidden="1">
      <c r="A169" s="269">
        <v>45687</v>
      </c>
      <c r="B169" s="270" t="s">
        <v>476</v>
      </c>
      <c r="C169" s="276" t="s">
        <v>175</v>
      </c>
      <c r="D169" s="270" t="s">
        <v>120</v>
      </c>
      <c r="E169" s="272">
        <v>24500</v>
      </c>
      <c r="F169" s="272">
        <v>41.094075240735805</v>
      </c>
      <c r="G169" s="273">
        <v>596.19299999999998</v>
      </c>
      <c r="H169" s="274" t="s">
        <v>217</v>
      </c>
      <c r="I169" s="274" t="s">
        <v>477</v>
      </c>
      <c r="J169" s="274" t="s">
        <v>98</v>
      </c>
      <c r="K169" s="275" t="s">
        <v>2149</v>
      </c>
      <c r="L169" s="274" t="s">
        <v>2341</v>
      </c>
      <c r="M169" s="270"/>
      <c r="N169" s="270"/>
      <c r="O169" s="270"/>
    </row>
    <row r="170" spans="1:15" hidden="1">
      <c r="A170" s="269">
        <v>45687</v>
      </c>
      <c r="B170" s="270" t="s">
        <v>478</v>
      </c>
      <c r="C170" s="276" t="s">
        <v>2344</v>
      </c>
      <c r="D170" s="270" t="s">
        <v>120</v>
      </c>
      <c r="E170" s="272">
        <v>148000</v>
      </c>
      <c r="F170" s="272">
        <v>248.24176063791424</v>
      </c>
      <c r="G170" s="273">
        <v>596.19299999999998</v>
      </c>
      <c r="H170" s="274" t="s">
        <v>217</v>
      </c>
      <c r="I170" s="274" t="s">
        <v>479</v>
      </c>
      <c r="J170" s="274" t="s">
        <v>98</v>
      </c>
      <c r="K170" s="275" t="s">
        <v>2149</v>
      </c>
      <c r="L170" s="274" t="s">
        <v>2341</v>
      </c>
      <c r="M170" s="270"/>
      <c r="N170" s="270"/>
      <c r="O170" s="270"/>
    </row>
    <row r="171" spans="1:15" hidden="1">
      <c r="A171" s="269">
        <v>45688</v>
      </c>
      <c r="B171" s="270" t="s">
        <v>480</v>
      </c>
      <c r="C171" s="276" t="s">
        <v>175</v>
      </c>
      <c r="D171" s="271" t="s">
        <v>119</v>
      </c>
      <c r="E171" s="272">
        <v>25500</v>
      </c>
      <c r="F171" s="272">
        <v>42.771384434235223</v>
      </c>
      <c r="G171" s="273">
        <v>596.19299999999998</v>
      </c>
      <c r="H171" s="274" t="s">
        <v>153</v>
      </c>
      <c r="I171" s="274" t="s">
        <v>481</v>
      </c>
      <c r="J171" s="274" t="s">
        <v>98</v>
      </c>
      <c r="K171" s="275" t="s">
        <v>2149</v>
      </c>
      <c r="L171" s="274" t="s">
        <v>2341</v>
      </c>
      <c r="M171" s="270"/>
      <c r="N171" s="270"/>
      <c r="O171" s="270"/>
    </row>
    <row r="172" spans="1:15" hidden="1">
      <c r="A172" s="269">
        <v>45688</v>
      </c>
      <c r="B172" s="270" t="s">
        <v>482</v>
      </c>
      <c r="C172" s="270" t="s">
        <v>483</v>
      </c>
      <c r="D172" s="271" t="s">
        <v>119</v>
      </c>
      <c r="E172" s="272">
        <v>174625</v>
      </c>
      <c r="F172" s="272">
        <v>292.9001179148363</v>
      </c>
      <c r="G172" s="273">
        <v>596.19299999999998</v>
      </c>
      <c r="H172" s="274" t="s">
        <v>153</v>
      </c>
      <c r="I172" s="274" t="s">
        <v>484</v>
      </c>
      <c r="J172" s="274" t="s">
        <v>98</v>
      </c>
      <c r="K172" s="275" t="s">
        <v>2149</v>
      </c>
      <c r="L172" s="274" t="s">
        <v>2341</v>
      </c>
      <c r="M172" s="270"/>
      <c r="N172" s="270"/>
      <c r="O172" s="270"/>
    </row>
    <row r="173" spans="1:15" hidden="1">
      <c r="A173" s="269">
        <v>45688</v>
      </c>
      <c r="B173" s="270" t="s">
        <v>485</v>
      </c>
      <c r="C173" s="276" t="s">
        <v>175</v>
      </c>
      <c r="D173" s="270" t="s">
        <v>118</v>
      </c>
      <c r="E173" s="272">
        <v>41000</v>
      </c>
      <c r="F173" s="272">
        <v>68.769676933476248</v>
      </c>
      <c r="G173" s="273">
        <v>596.19299999999998</v>
      </c>
      <c r="H173" s="274" t="s">
        <v>157</v>
      </c>
      <c r="I173" s="274" t="s">
        <v>486</v>
      </c>
      <c r="J173" s="274" t="s">
        <v>98</v>
      </c>
      <c r="K173" s="275" t="s">
        <v>2149</v>
      </c>
      <c r="L173" s="274" t="s">
        <v>2341</v>
      </c>
      <c r="M173" s="270"/>
      <c r="N173" s="270"/>
      <c r="O173" s="270"/>
    </row>
    <row r="174" spans="1:15" hidden="1">
      <c r="A174" s="269">
        <v>45688</v>
      </c>
      <c r="B174" s="270" t="s">
        <v>487</v>
      </c>
      <c r="C174" s="276" t="s">
        <v>317</v>
      </c>
      <c r="D174" s="270" t="s">
        <v>118</v>
      </c>
      <c r="E174" s="272">
        <v>6000</v>
      </c>
      <c r="F174" s="272">
        <v>10.063855160996523</v>
      </c>
      <c r="G174" s="273">
        <v>596.19299999999998</v>
      </c>
      <c r="H174" s="274" t="s">
        <v>157</v>
      </c>
      <c r="I174" s="274" t="s">
        <v>488</v>
      </c>
      <c r="J174" s="274" t="s">
        <v>98</v>
      </c>
      <c r="K174" s="275" t="s">
        <v>2149</v>
      </c>
      <c r="L174" s="274" t="s">
        <v>2341</v>
      </c>
      <c r="M174" s="270"/>
      <c r="N174" s="270"/>
      <c r="O174" s="270"/>
    </row>
    <row r="175" spans="1:15" hidden="1">
      <c r="A175" s="269">
        <v>45688</v>
      </c>
      <c r="B175" s="270" t="s">
        <v>489</v>
      </c>
      <c r="C175" s="270" t="s">
        <v>490</v>
      </c>
      <c r="D175" s="270" t="s">
        <v>118</v>
      </c>
      <c r="E175" s="272">
        <v>45050</v>
      </c>
      <c r="F175" s="272">
        <v>75.562779167148889</v>
      </c>
      <c r="G175" s="273">
        <v>596.19299999999998</v>
      </c>
      <c r="H175" s="274" t="s">
        <v>157</v>
      </c>
      <c r="I175" s="274" t="s">
        <v>491</v>
      </c>
      <c r="J175" s="274" t="s">
        <v>98</v>
      </c>
      <c r="K175" s="275" t="s">
        <v>2149</v>
      </c>
      <c r="L175" s="274" t="s">
        <v>2341</v>
      </c>
      <c r="M175" s="270"/>
      <c r="N175" s="270"/>
      <c r="O175" s="270"/>
    </row>
    <row r="176" spans="1:15" hidden="1">
      <c r="A176" s="269">
        <v>45688</v>
      </c>
      <c r="B176" s="270" t="s">
        <v>492</v>
      </c>
      <c r="C176" s="276" t="s">
        <v>175</v>
      </c>
      <c r="D176" s="271" t="s">
        <v>117</v>
      </c>
      <c r="E176" s="272">
        <v>38000</v>
      </c>
      <c r="F176" s="272">
        <v>63.737749352977978</v>
      </c>
      <c r="G176" s="273">
        <v>596.19299999999998</v>
      </c>
      <c r="H176" s="274" t="s">
        <v>190</v>
      </c>
      <c r="I176" s="274" t="s">
        <v>493</v>
      </c>
      <c r="J176" s="274" t="s">
        <v>98</v>
      </c>
      <c r="K176" s="275" t="s">
        <v>2149</v>
      </c>
      <c r="L176" s="274" t="s">
        <v>2341</v>
      </c>
      <c r="M176" s="270"/>
      <c r="N176" s="270"/>
      <c r="O176" s="270"/>
    </row>
    <row r="177" spans="1:15" hidden="1">
      <c r="A177" s="269">
        <v>45688</v>
      </c>
      <c r="B177" s="270" t="s">
        <v>494</v>
      </c>
      <c r="C177" s="270" t="s">
        <v>495</v>
      </c>
      <c r="D177" s="270" t="s">
        <v>118</v>
      </c>
      <c r="E177" s="272">
        <v>50000</v>
      </c>
      <c r="F177" s="272">
        <v>83.865459674971021</v>
      </c>
      <c r="G177" s="273">
        <v>596.19299999999998</v>
      </c>
      <c r="H177" s="274" t="s">
        <v>193</v>
      </c>
      <c r="I177" s="274" t="s">
        <v>496</v>
      </c>
      <c r="J177" s="274" t="s">
        <v>98</v>
      </c>
      <c r="K177" s="275" t="s">
        <v>2149</v>
      </c>
      <c r="L177" s="274" t="s">
        <v>2341</v>
      </c>
      <c r="M177" s="270"/>
      <c r="N177" s="270"/>
      <c r="O177" s="270"/>
    </row>
    <row r="178" spans="1:15" hidden="1">
      <c r="A178" s="269">
        <v>45688</v>
      </c>
      <c r="B178" s="270" t="s">
        <v>113</v>
      </c>
      <c r="C178" s="270" t="s">
        <v>127</v>
      </c>
      <c r="D178" s="271" t="s">
        <v>502</v>
      </c>
      <c r="E178" s="272">
        <v>255000</v>
      </c>
      <c r="F178" s="272">
        <v>427.71384434235222</v>
      </c>
      <c r="G178" s="273">
        <v>596.19299999999998</v>
      </c>
      <c r="H178" s="274" t="s">
        <v>148</v>
      </c>
      <c r="I178" s="274" t="s">
        <v>144</v>
      </c>
      <c r="J178" s="274" t="s">
        <v>98</v>
      </c>
      <c r="K178" s="275" t="s">
        <v>2149</v>
      </c>
      <c r="L178" s="274" t="s">
        <v>2341</v>
      </c>
      <c r="M178" s="270"/>
      <c r="N178" s="270"/>
      <c r="O178" s="270"/>
    </row>
    <row r="179" spans="1:15" hidden="1">
      <c r="A179" s="269">
        <v>45688</v>
      </c>
      <c r="B179" s="270" t="s">
        <v>114</v>
      </c>
      <c r="C179" s="270" t="s">
        <v>127</v>
      </c>
      <c r="D179" s="271" t="s">
        <v>502</v>
      </c>
      <c r="E179" s="272">
        <v>335000</v>
      </c>
      <c r="F179" s="272">
        <v>561.89857982230592</v>
      </c>
      <c r="G179" s="273">
        <v>596.19299999999998</v>
      </c>
      <c r="H179" s="274" t="s">
        <v>148</v>
      </c>
      <c r="I179" s="274" t="s">
        <v>145</v>
      </c>
      <c r="J179" s="274" t="s">
        <v>98</v>
      </c>
      <c r="K179" s="275" t="s">
        <v>2149</v>
      </c>
      <c r="L179" s="274" t="s">
        <v>2341</v>
      </c>
      <c r="M179" s="270"/>
      <c r="N179" s="270"/>
      <c r="O179" s="270"/>
    </row>
    <row r="180" spans="1:15" hidden="1">
      <c r="A180" s="269">
        <v>45688</v>
      </c>
      <c r="B180" s="270" t="s">
        <v>115</v>
      </c>
      <c r="C180" s="270" t="s">
        <v>127</v>
      </c>
      <c r="D180" s="271" t="s">
        <v>502</v>
      </c>
      <c r="E180" s="272">
        <v>400000</v>
      </c>
      <c r="F180" s="272">
        <v>670.92367739976817</v>
      </c>
      <c r="G180" s="273">
        <v>596.19299999999998</v>
      </c>
      <c r="H180" s="274" t="s">
        <v>148</v>
      </c>
      <c r="I180" s="274" t="s">
        <v>146</v>
      </c>
      <c r="J180" s="274" t="s">
        <v>98</v>
      </c>
      <c r="K180" s="275" t="s">
        <v>2149</v>
      </c>
      <c r="L180" s="274" t="s">
        <v>2341</v>
      </c>
      <c r="M180" s="270"/>
      <c r="N180" s="270"/>
      <c r="O180" s="270"/>
    </row>
    <row r="181" spans="1:15" hidden="1">
      <c r="A181" s="269">
        <v>45688</v>
      </c>
      <c r="B181" s="270" t="s">
        <v>116</v>
      </c>
      <c r="C181" s="270" t="s">
        <v>127</v>
      </c>
      <c r="D181" s="271" t="s">
        <v>502</v>
      </c>
      <c r="E181" s="272">
        <v>255000</v>
      </c>
      <c r="F181" s="272">
        <v>427.71384434235222</v>
      </c>
      <c r="G181" s="273">
        <v>596.19299999999998</v>
      </c>
      <c r="H181" s="274" t="s">
        <v>148</v>
      </c>
      <c r="I181" s="274" t="s">
        <v>147</v>
      </c>
      <c r="J181" s="274" t="s">
        <v>98</v>
      </c>
      <c r="K181" s="275" t="s">
        <v>2149</v>
      </c>
      <c r="L181" s="274" t="s">
        <v>2341</v>
      </c>
      <c r="M181" s="270"/>
      <c r="N181" s="270"/>
      <c r="O181" s="270"/>
    </row>
    <row r="182" spans="1:15" hidden="1">
      <c r="A182" s="269">
        <v>45691</v>
      </c>
      <c r="B182" s="270" t="s">
        <v>594</v>
      </c>
      <c r="C182" s="270" t="s">
        <v>152</v>
      </c>
      <c r="D182" s="271" t="s">
        <v>119</v>
      </c>
      <c r="E182" s="272">
        <v>42000</v>
      </c>
      <c r="F182" s="272">
        <v>70.446986126975659</v>
      </c>
      <c r="G182" s="273">
        <v>579.25099999999998</v>
      </c>
      <c r="H182" s="274" t="s">
        <v>157</v>
      </c>
      <c r="I182" s="274" t="s">
        <v>595</v>
      </c>
      <c r="J182" s="274" t="s">
        <v>98</v>
      </c>
      <c r="K182" s="278" t="s">
        <v>205</v>
      </c>
      <c r="L182" s="274" t="s">
        <v>2341</v>
      </c>
      <c r="M182" s="270"/>
      <c r="N182" s="270"/>
      <c r="O182" s="270"/>
    </row>
    <row r="183" spans="1:15" hidden="1">
      <c r="A183" s="269">
        <v>45691</v>
      </c>
      <c r="B183" s="270" t="s">
        <v>596</v>
      </c>
      <c r="C183" s="270" t="s">
        <v>152</v>
      </c>
      <c r="D183" s="271" t="s">
        <v>117</v>
      </c>
      <c r="E183" s="272">
        <v>74000</v>
      </c>
      <c r="F183" s="272">
        <v>124.12088031895712</v>
      </c>
      <c r="G183" s="273">
        <v>579.25099999999998</v>
      </c>
      <c r="H183" s="274" t="s">
        <v>157</v>
      </c>
      <c r="I183" s="274" t="s">
        <v>597</v>
      </c>
      <c r="J183" s="274" t="s">
        <v>98</v>
      </c>
      <c r="K183" s="278" t="s">
        <v>205</v>
      </c>
      <c r="L183" s="274" t="s">
        <v>2341</v>
      </c>
      <c r="M183" s="270"/>
      <c r="N183" s="270"/>
      <c r="O183" s="270"/>
    </row>
    <row r="184" spans="1:15" hidden="1">
      <c r="A184" s="269">
        <v>45691</v>
      </c>
      <c r="B184" s="270" t="s">
        <v>598</v>
      </c>
      <c r="C184" s="270" t="s">
        <v>152</v>
      </c>
      <c r="D184" s="271" t="s">
        <v>502</v>
      </c>
      <c r="E184" s="272">
        <v>88000</v>
      </c>
      <c r="F184" s="272">
        <v>147.60320902794902</v>
      </c>
      <c r="G184" s="273">
        <v>579.25099999999998</v>
      </c>
      <c r="H184" s="274" t="s">
        <v>157</v>
      </c>
      <c r="I184" s="274" t="s">
        <v>599</v>
      </c>
      <c r="J184" s="274" t="s">
        <v>98</v>
      </c>
      <c r="K184" s="278" t="s">
        <v>205</v>
      </c>
      <c r="L184" s="274" t="s">
        <v>2341</v>
      </c>
      <c r="M184" s="270"/>
      <c r="N184" s="270"/>
      <c r="O184" s="270"/>
    </row>
    <row r="185" spans="1:15" hidden="1">
      <c r="A185" s="269">
        <v>45691</v>
      </c>
      <c r="B185" s="270" t="s">
        <v>600</v>
      </c>
      <c r="C185" s="270" t="s">
        <v>152</v>
      </c>
      <c r="D185" s="270" t="s">
        <v>120</v>
      </c>
      <c r="E185" s="272">
        <v>10000</v>
      </c>
      <c r="F185" s="272">
        <v>16.773091934994206</v>
      </c>
      <c r="G185" s="273">
        <v>579.25099999999998</v>
      </c>
      <c r="H185" s="274" t="s">
        <v>157</v>
      </c>
      <c r="I185" s="274" t="s">
        <v>601</v>
      </c>
      <c r="J185" s="274" t="s">
        <v>98</v>
      </c>
      <c r="K185" s="278" t="s">
        <v>205</v>
      </c>
      <c r="L185" s="274" t="s">
        <v>2341</v>
      </c>
      <c r="M185" s="270"/>
      <c r="N185" s="270"/>
      <c r="O185" s="270"/>
    </row>
    <row r="186" spans="1:15" hidden="1">
      <c r="A186" s="269">
        <v>45691</v>
      </c>
      <c r="B186" s="270" t="s">
        <v>602</v>
      </c>
      <c r="C186" s="270" t="s">
        <v>152</v>
      </c>
      <c r="D186" s="271" t="s">
        <v>117</v>
      </c>
      <c r="E186" s="272">
        <v>10000</v>
      </c>
      <c r="F186" s="272">
        <v>16.773091934994206</v>
      </c>
      <c r="G186" s="273">
        <v>579.25099999999998</v>
      </c>
      <c r="H186" s="274" t="s">
        <v>157</v>
      </c>
      <c r="I186" s="274" t="s">
        <v>603</v>
      </c>
      <c r="J186" s="274" t="s">
        <v>98</v>
      </c>
      <c r="K186" s="278" t="s">
        <v>205</v>
      </c>
      <c r="L186" s="274" t="s">
        <v>2341</v>
      </c>
      <c r="M186" s="270"/>
      <c r="N186" s="270"/>
      <c r="O186" s="270"/>
    </row>
    <row r="187" spans="1:15" hidden="1">
      <c r="A187" s="269">
        <v>45691</v>
      </c>
      <c r="B187" s="270" t="s">
        <v>604</v>
      </c>
      <c r="C187" s="270" t="s">
        <v>152</v>
      </c>
      <c r="D187" s="271" t="s">
        <v>502</v>
      </c>
      <c r="E187" s="272">
        <v>16000</v>
      </c>
      <c r="F187" s="272">
        <v>26.836947095990727</v>
      </c>
      <c r="G187" s="273">
        <v>579.25099999999998</v>
      </c>
      <c r="H187" s="274" t="s">
        <v>157</v>
      </c>
      <c r="I187" s="274" t="s">
        <v>605</v>
      </c>
      <c r="J187" s="274" t="s">
        <v>98</v>
      </c>
      <c r="K187" s="278" t="s">
        <v>205</v>
      </c>
      <c r="L187" s="274" t="s">
        <v>2341</v>
      </c>
      <c r="M187" s="270"/>
      <c r="N187" s="270"/>
      <c r="O187" s="270"/>
    </row>
    <row r="188" spans="1:15" hidden="1">
      <c r="A188" s="269">
        <v>45691</v>
      </c>
      <c r="B188" s="270" t="s">
        <v>606</v>
      </c>
      <c r="C188" s="270" t="s">
        <v>152</v>
      </c>
      <c r="D188" s="270" t="s">
        <v>120</v>
      </c>
      <c r="E188" s="272">
        <v>11000</v>
      </c>
      <c r="F188" s="272">
        <v>18.450401128493628</v>
      </c>
      <c r="G188" s="273">
        <v>579.25099999999998</v>
      </c>
      <c r="H188" s="274" t="s">
        <v>157</v>
      </c>
      <c r="I188" s="274" t="s">
        <v>607</v>
      </c>
      <c r="J188" s="274" t="s">
        <v>98</v>
      </c>
      <c r="K188" s="278" t="s">
        <v>205</v>
      </c>
      <c r="L188" s="274" t="s">
        <v>2341</v>
      </c>
      <c r="M188" s="270"/>
      <c r="N188" s="270"/>
      <c r="O188" s="270"/>
    </row>
    <row r="189" spans="1:15" hidden="1">
      <c r="A189" s="269">
        <v>45692</v>
      </c>
      <c r="B189" s="270" t="s">
        <v>786</v>
      </c>
      <c r="C189" s="276" t="s">
        <v>175</v>
      </c>
      <c r="D189" s="271" t="s">
        <v>117</v>
      </c>
      <c r="E189" s="272">
        <v>7000</v>
      </c>
      <c r="F189" s="272">
        <v>11.741164354495943</v>
      </c>
      <c r="G189" s="273">
        <v>579.25099999999998</v>
      </c>
      <c r="H189" s="274" t="s">
        <v>190</v>
      </c>
      <c r="I189" s="274" t="s">
        <v>787</v>
      </c>
      <c r="J189" s="274" t="s">
        <v>98</v>
      </c>
      <c r="K189" s="278" t="s">
        <v>205</v>
      </c>
      <c r="L189" s="274" t="s">
        <v>2341</v>
      </c>
      <c r="M189" s="270"/>
      <c r="N189" s="270"/>
      <c r="O189" s="270"/>
    </row>
    <row r="190" spans="1:15" hidden="1">
      <c r="A190" s="269">
        <v>45692</v>
      </c>
      <c r="B190" s="270" t="s">
        <v>608</v>
      </c>
      <c r="C190" s="270" t="s">
        <v>263</v>
      </c>
      <c r="D190" s="271" t="s">
        <v>117</v>
      </c>
      <c r="E190" s="272">
        <v>70000</v>
      </c>
      <c r="F190" s="272">
        <v>117.41164354495943</v>
      </c>
      <c r="G190" s="273">
        <v>579.25099999999998</v>
      </c>
      <c r="H190" s="274" t="s">
        <v>190</v>
      </c>
      <c r="I190" s="274" t="s">
        <v>609</v>
      </c>
      <c r="J190" s="274" t="s">
        <v>98</v>
      </c>
      <c r="K190" s="278" t="s">
        <v>205</v>
      </c>
      <c r="L190" s="274" t="s">
        <v>2341</v>
      </c>
      <c r="M190" s="270"/>
      <c r="N190" s="270"/>
      <c r="O190" s="270"/>
    </row>
    <row r="191" spans="1:15" hidden="1">
      <c r="A191" s="269">
        <v>45692</v>
      </c>
      <c r="B191" s="270" t="s">
        <v>822</v>
      </c>
      <c r="C191" s="276" t="s">
        <v>175</v>
      </c>
      <c r="D191" s="271" t="s">
        <v>117</v>
      </c>
      <c r="E191" s="272">
        <v>7000</v>
      </c>
      <c r="F191" s="272">
        <v>11.741164354495943</v>
      </c>
      <c r="G191" s="273">
        <v>579.25099999999998</v>
      </c>
      <c r="H191" s="274" t="s">
        <v>196</v>
      </c>
      <c r="I191" s="274" t="s">
        <v>823</v>
      </c>
      <c r="J191" s="274" t="s">
        <v>98</v>
      </c>
      <c r="K191" s="278" t="s">
        <v>205</v>
      </c>
      <c r="L191" s="274" t="s">
        <v>2341</v>
      </c>
      <c r="M191" s="270"/>
      <c r="N191" s="270"/>
      <c r="O191" s="270"/>
    </row>
    <row r="192" spans="1:15" hidden="1">
      <c r="A192" s="269">
        <v>45692</v>
      </c>
      <c r="B192" s="270" t="s">
        <v>100</v>
      </c>
      <c r="C192" s="276" t="s">
        <v>317</v>
      </c>
      <c r="D192" s="270" t="s">
        <v>118</v>
      </c>
      <c r="E192" s="272">
        <v>260000</v>
      </c>
      <c r="F192" s="272">
        <v>436.10039030984933</v>
      </c>
      <c r="G192" s="273">
        <v>579.25099999999998</v>
      </c>
      <c r="H192" s="274" t="s">
        <v>148</v>
      </c>
      <c r="I192" s="274" t="s">
        <v>539</v>
      </c>
      <c r="J192" s="274" t="s">
        <v>98</v>
      </c>
      <c r="K192" s="278" t="s">
        <v>205</v>
      </c>
      <c r="L192" s="274" t="s">
        <v>2341</v>
      </c>
      <c r="M192" s="270"/>
      <c r="N192" s="270"/>
      <c r="O192" s="270"/>
    </row>
    <row r="193" spans="1:15" hidden="1">
      <c r="A193" s="269">
        <v>45692</v>
      </c>
      <c r="B193" s="270" t="s">
        <v>832</v>
      </c>
      <c r="C193" s="276" t="s">
        <v>175</v>
      </c>
      <c r="D193" s="271" t="s">
        <v>502</v>
      </c>
      <c r="E193" s="272">
        <v>9000</v>
      </c>
      <c r="F193" s="272">
        <v>15.095782741494785</v>
      </c>
      <c r="G193" s="273">
        <v>579.25099999999998</v>
      </c>
      <c r="H193" s="274" t="s">
        <v>332</v>
      </c>
      <c r="I193" s="274" t="s">
        <v>833</v>
      </c>
      <c r="J193" s="274" t="s">
        <v>98</v>
      </c>
      <c r="K193" s="278" t="s">
        <v>205</v>
      </c>
      <c r="L193" s="274" t="s">
        <v>2341</v>
      </c>
      <c r="M193" s="270"/>
      <c r="N193" s="270"/>
      <c r="O193" s="270"/>
    </row>
    <row r="194" spans="1:15" hidden="1">
      <c r="A194" s="269">
        <v>45693</v>
      </c>
      <c r="B194" s="270" t="s">
        <v>712</v>
      </c>
      <c r="C194" s="276" t="s">
        <v>175</v>
      </c>
      <c r="D194" s="271" t="s">
        <v>502</v>
      </c>
      <c r="E194" s="272">
        <v>6000</v>
      </c>
      <c r="F194" s="272">
        <v>10.063855160996523</v>
      </c>
      <c r="G194" s="273">
        <v>579.25099999999998</v>
      </c>
      <c r="H194" s="274" t="s">
        <v>187</v>
      </c>
      <c r="I194" s="274" t="s">
        <v>713</v>
      </c>
      <c r="J194" s="274" t="s">
        <v>98</v>
      </c>
      <c r="K194" s="278" t="s">
        <v>205</v>
      </c>
      <c r="L194" s="274" t="s">
        <v>2341</v>
      </c>
      <c r="M194" s="270"/>
      <c r="N194" s="270"/>
      <c r="O194" s="270"/>
    </row>
    <row r="195" spans="1:15" hidden="1">
      <c r="A195" s="269">
        <v>45693</v>
      </c>
      <c r="B195" s="270" t="s">
        <v>610</v>
      </c>
      <c r="C195" s="276" t="s">
        <v>1321</v>
      </c>
      <c r="D195" s="270" t="s">
        <v>118</v>
      </c>
      <c r="E195" s="272">
        <v>25000</v>
      </c>
      <c r="F195" s="272">
        <v>41.93272983748551</v>
      </c>
      <c r="G195" s="273">
        <v>579.25099999999998</v>
      </c>
      <c r="H195" s="274" t="s">
        <v>157</v>
      </c>
      <c r="I195" s="274" t="s">
        <v>611</v>
      </c>
      <c r="J195" s="274" t="s">
        <v>98</v>
      </c>
      <c r="K195" s="278" t="s">
        <v>205</v>
      </c>
      <c r="L195" s="274" t="s">
        <v>2341</v>
      </c>
      <c r="M195" s="270"/>
      <c r="N195" s="270"/>
      <c r="O195" s="270"/>
    </row>
    <row r="196" spans="1:15" hidden="1">
      <c r="A196" s="269">
        <v>45693</v>
      </c>
      <c r="B196" s="270" t="s">
        <v>612</v>
      </c>
      <c r="C196" s="276" t="s">
        <v>1321</v>
      </c>
      <c r="D196" s="270" t="s">
        <v>118</v>
      </c>
      <c r="E196" s="272">
        <v>63000</v>
      </c>
      <c r="F196" s="272">
        <v>105.6704791904635</v>
      </c>
      <c r="G196" s="273">
        <v>579.25099999999998</v>
      </c>
      <c r="H196" s="274" t="s">
        <v>157</v>
      </c>
      <c r="I196" s="274" t="s">
        <v>613</v>
      </c>
      <c r="J196" s="274" t="s">
        <v>98</v>
      </c>
      <c r="K196" s="278" t="s">
        <v>205</v>
      </c>
      <c r="L196" s="274" t="s">
        <v>2341</v>
      </c>
      <c r="M196" s="270"/>
      <c r="N196" s="270"/>
      <c r="O196" s="270"/>
    </row>
    <row r="197" spans="1:15" hidden="1">
      <c r="A197" s="269">
        <v>45693</v>
      </c>
      <c r="B197" s="270" t="s">
        <v>714</v>
      </c>
      <c r="C197" s="276" t="s">
        <v>179</v>
      </c>
      <c r="D197" s="271" t="s">
        <v>502</v>
      </c>
      <c r="E197" s="272">
        <v>230000</v>
      </c>
      <c r="F197" s="272">
        <v>385.78111450486671</v>
      </c>
      <c r="G197" s="273">
        <v>579.25099999999998</v>
      </c>
      <c r="H197" s="274" t="s">
        <v>187</v>
      </c>
      <c r="I197" s="274" t="s">
        <v>715</v>
      </c>
      <c r="J197" s="274" t="s">
        <v>98</v>
      </c>
      <c r="K197" s="278" t="s">
        <v>205</v>
      </c>
      <c r="L197" s="274" t="s">
        <v>2341</v>
      </c>
      <c r="M197" s="270"/>
      <c r="N197" s="270"/>
      <c r="O197" s="270"/>
    </row>
    <row r="198" spans="1:15" hidden="1">
      <c r="A198" s="269">
        <v>45693</v>
      </c>
      <c r="B198" s="270" t="s">
        <v>830</v>
      </c>
      <c r="C198" s="276" t="s">
        <v>179</v>
      </c>
      <c r="D198" s="271" t="s">
        <v>502</v>
      </c>
      <c r="E198" s="272">
        <v>70000</v>
      </c>
      <c r="F198" s="272">
        <v>117.41164354495943</v>
      </c>
      <c r="G198" s="273">
        <v>579.25099999999998</v>
      </c>
      <c r="H198" s="274" t="s">
        <v>332</v>
      </c>
      <c r="I198" s="274" t="s">
        <v>831</v>
      </c>
      <c r="J198" s="274" t="s">
        <v>98</v>
      </c>
      <c r="K198" s="278" t="s">
        <v>205</v>
      </c>
      <c r="L198" s="274" t="s">
        <v>2341</v>
      </c>
      <c r="M198" s="270"/>
      <c r="N198" s="270"/>
      <c r="O198" s="270"/>
    </row>
    <row r="199" spans="1:15" hidden="1">
      <c r="A199" s="269">
        <v>45693</v>
      </c>
      <c r="B199" s="270" t="s">
        <v>834</v>
      </c>
      <c r="C199" s="276" t="s">
        <v>175</v>
      </c>
      <c r="D199" s="271" t="s">
        <v>502</v>
      </c>
      <c r="E199" s="272">
        <v>5000</v>
      </c>
      <c r="F199" s="272">
        <v>8.3865459674971028</v>
      </c>
      <c r="G199" s="273">
        <v>579.25099999999998</v>
      </c>
      <c r="H199" s="274" t="s">
        <v>332</v>
      </c>
      <c r="I199" s="274" t="s">
        <v>833</v>
      </c>
      <c r="J199" s="274" t="s">
        <v>98</v>
      </c>
      <c r="K199" s="278" t="s">
        <v>205</v>
      </c>
      <c r="L199" s="274" t="s">
        <v>2341</v>
      </c>
      <c r="M199" s="270"/>
      <c r="N199" s="270"/>
      <c r="O199" s="270"/>
    </row>
    <row r="200" spans="1:15" hidden="1">
      <c r="A200" s="269">
        <v>45693</v>
      </c>
      <c r="B200" s="270" t="s">
        <v>788</v>
      </c>
      <c r="C200" s="276" t="s">
        <v>179</v>
      </c>
      <c r="D200" s="271" t="s">
        <v>117</v>
      </c>
      <c r="E200" s="272">
        <v>20000</v>
      </c>
      <c r="F200" s="272">
        <v>33.546183869988411</v>
      </c>
      <c r="G200" s="273">
        <v>579.25099999999998</v>
      </c>
      <c r="H200" s="274" t="s">
        <v>190</v>
      </c>
      <c r="I200" s="274" t="s">
        <v>789</v>
      </c>
      <c r="J200" s="274" t="s">
        <v>98</v>
      </c>
      <c r="K200" s="278" t="s">
        <v>205</v>
      </c>
      <c r="L200" s="274" t="s">
        <v>2341</v>
      </c>
      <c r="M200" s="270"/>
      <c r="N200" s="270"/>
      <c r="O200" s="270"/>
    </row>
    <row r="201" spans="1:15" hidden="1">
      <c r="A201" s="269">
        <v>45693</v>
      </c>
      <c r="B201" s="270" t="s">
        <v>824</v>
      </c>
      <c r="C201" s="276" t="s">
        <v>179</v>
      </c>
      <c r="D201" s="271" t="s">
        <v>117</v>
      </c>
      <c r="E201" s="272">
        <v>20000</v>
      </c>
      <c r="F201" s="272">
        <v>33.546183869988411</v>
      </c>
      <c r="G201" s="273">
        <v>579.25099999999998</v>
      </c>
      <c r="H201" s="274" t="s">
        <v>196</v>
      </c>
      <c r="I201" s="274" t="s">
        <v>825</v>
      </c>
      <c r="J201" s="274" t="s">
        <v>98</v>
      </c>
      <c r="K201" s="278" t="s">
        <v>205</v>
      </c>
      <c r="L201" s="274" t="s">
        <v>2341</v>
      </c>
      <c r="M201" s="270"/>
      <c r="N201" s="270"/>
      <c r="O201" s="270"/>
    </row>
    <row r="202" spans="1:15" hidden="1">
      <c r="A202" s="269">
        <v>45693</v>
      </c>
      <c r="B202" s="270" t="s">
        <v>99</v>
      </c>
      <c r="C202" s="276" t="s">
        <v>126</v>
      </c>
      <c r="D202" s="270" t="s">
        <v>118</v>
      </c>
      <c r="E202" s="272">
        <v>500000</v>
      </c>
      <c r="F202" s="272">
        <v>838.65459674971032</v>
      </c>
      <c r="G202" s="273">
        <v>579.25099999999998</v>
      </c>
      <c r="H202" s="274" t="s">
        <v>148</v>
      </c>
      <c r="I202" s="274" t="s">
        <v>540</v>
      </c>
      <c r="J202" s="274" t="s">
        <v>98</v>
      </c>
      <c r="K202" s="278" t="s">
        <v>205</v>
      </c>
      <c r="L202" s="274" t="s">
        <v>2341</v>
      </c>
      <c r="M202" s="270"/>
      <c r="N202" s="270"/>
      <c r="O202" s="270"/>
    </row>
    <row r="203" spans="1:15" hidden="1">
      <c r="A203" s="269">
        <v>45694</v>
      </c>
      <c r="B203" s="270" t="s">
        <v>745</v>
      </c>
      <c r="C203" s="276" t="s">
        <v>175</v>
      </c>
      <c r="D203" s="271" t="s">
        <v>502</v>
      </c>
      <c r="E203" s="272">
        <v>9000</v>
      </c>
      <c r="F203" s="272">
        <v>15.095782741494785</v>
      </c>
      <c r="G203" s="273">
        <v>579.25099999999998</v>
      </c>
      <c r="H203" s="274" t="s">
        <v>176</v>
      </c>
      <c r="I203" s="274" t="s">
        <v>746</v>
      </c>
      <c r="J203" s="274" t="s">
        <v>98</v>
      </c>
      <c r="K203" s="278" t="s">
        <v>205</v>
      </c>
      <c r="L203" s="274" t="s">
        <v>2341</v>
      </c>
      <c r="M203" s="270"/>
      <c r="N203" s="270"/>
      <c r="O203" s="270"/>
    </row>
    <row r="204" spans="1:15" hidden="1">
      <c r="A204" s="269">
        <v>45694</v>
      </c>
      <c r="B204" s="270" t="s">
        <v>747</v>
      </c>
      <c r="C204" s="276" t="s">
        <v>179</v>
      </c>
      <c r="D204" s="271" t="s">
        <v>502</v>
      </c>
      <c r="E204" s="272">
        <v>190000</v>
      </c>
      <c r="F204" s="272">
        <v>318.68874676488991</v>
      </c>
      <c r="G204" s="273">
        <v>579.25099999999998</v>
      </c>
      <c r="H204" s="274" t="s">
        <v>176</v>
      </c>
      <c r="I204" s="274" t="s">
        <v>748</v>
      </c>
      <c r="J204" s="274" t="s">
        <v>98</v>
      </c>
      <c r="K204" s="278" t="s">
        <v>205</v>
      </c>
      <c r="L204" s="274" t="s">
        <v>2341</v>
      </c>
      <c r="M204" s="270"/>
      <c r="N204" s="270"/>
      <c r="O204" s="270"/>
    </row>
    <row r="205" spans="1:15" hidden="1">
      <c r="A205" s="269">
        <v>45694</v>
      </c>
      <c r="B205" s="270" t="s">
        <v>558</v>
      </c>
      <c r="C205" s="276" t="s">
        <v>2344</v>
      </c>
      <c r="D205" s="270" t="s">
        <v>120</v>
      </c>
      <c r="E205" s="272">
        <v>148000</v>
      </c>
      <c r="F205" s="272">
        <v>248.24176063791424</v>
      </c>
      <c r="G205" s="273">
        <v>579.25099999999998</v>
      </c>
      <c r="H205" s="274" t="s">
        <v>217</v>
      </c>
      <c r="I205" s="274" t="s">
        <v>559</v>
      </c>
      <c r="J205" s="274" t="s">
        <v>98</v>
      </c>
      <c r="K205" s="278" t="s">
        <v>205</v>
      </c>
      <c r="L205" s="274" t="s">
        <v>2341</v>
      </c>
      <c r="M205" s="270"/>
      <c r="N205" s="270"/>
      <c r="O205" s="270"/>
    </row>
    <row r="206" spans="1:15" hidden="1">
      <c r="A206" s="269">
        <v>45695</v>
      </c>
      <c r="B206" s="270" t="s">
        <v>716</v>
      </c>
      <c r="C206" s="276" t="s">
        <v>175</v>
      </c>
      <c r="D206" s="271" t="s">
        <v>502</v>
      </c>
      <c r="E206" s="272">
        <v>5000</v>
      </c>
      <c r="F206" s="272">
        <v>8.3865459674971028</v>
      </c>
      <c r="G206" s="273">
        <v>579.25099999999998</v>
      </c>
      <c r="H206" s="274" t="s">
        <v>187</v>
      </c>
      <c r="I206" s="274" t="s">
        <v>717</v>
      </c>
      <c r="J206" s="274" t="s">
        <v>98</v>
      </c>
      <c r="K206" s="278" t="s">
        <v>205</v>
      </c>
      <c r="L206" s="274" t="s">
        <v>2341</v>
      </c>
      <c r="M206" s="270"/>
      <c r="N206" s="270"/>
      <c r="O206" s="270"/>
    </row>
    <row r="207" spans="1:15" hidden="1">
      <c r="A207" s="269">
        <v>45695</v>
      </c>
      <c r="B207" s="270" t="s">
        <v>718</v>
      </c>
      <c r="C207" s="276" t="s">
        <v>179</v>
      </c>
      <c r="D207" s="271" t="s">
        <v>502</v>
      </c>
      <c r="E207" s="272">
        <v>30000</v>
      </c>
      <c r="F207" s="272">
        <v>50.319275804982617</v>
      </c>
      <c r="G207" s="273">
        <v>579.25099999999998</v>
      </c>
      <c r="H207" s="274" t="s">
        <v>187</v>
      </c>
      <c r="I207" s="274" t="s">
        <v>719</v>
      </c>
      <c r="J207" s="274" t="s">
        <v>98</v>
      </c>
      <c r="K207" s="278" t="s">
        <v>205</v>
      </c>
      <c r="L207" s="274" t="s">
        <v>2341</v>
      </c>
      <c r="M207" s="270"/>
      <c r="N207" s="270"/>
      <c r="O207" s="270"/>
    </row>
    <row r="208" spans="1:15" hidden="1">
      <c r="A208" s="269">
        <v>45695</v>
      </c>
      <c r="B208" s="270" t="s">
        <v>835</v>
      </c>
      <c r="C208" s="276" t="s">
        <v>179</v>
      </c>
      <c r="D208" s="271" t="s">
        <v>502</v>
      </c>
      <c r="E208" s="272">
        <v>30000</v>
      </c>
      <c r="F208" s="272">
        <v>50.319275804982617</v>
      </c>
      <c r="G208" s="273">
        <v>579.25099999999998</v>
      </c>
      <c r="H208" s="274" t="s">
        <v>332</v>
      </c>
      <c r="I208" s="274" t="s">
        <v>833</v>
      </c>
      <c r="J208" s="274" t="s">
        <v>98</v>
      </c>
      <c r="K208" s="278" t="s">
        <v>205</v>
      </c>
      <c r="L208" s="274" t="s">
        <v>2341</v>
      </c>
      <c r="M208" s="270"/>
      <c r="N208" s="270"/>
      <c r="O208" s="270"/>
    </row>
    <row r="209" spans="1:15" hidden="1">
      <c r="A209" s="269">
        <v>45695</v>
      </c>
      <c r="B209" s="270" t="s">
        <v>836</v>
      </c>
      <c r="C209" s="276" t="s">
        <v>175</v>
      </c>
      <c r="D209" s="271" t="s">
        <v>502</v>
      </c>
      <c r="E209" s="272">
        <v>5000</v>
      </c>
      <c r="F209" s="272">
        <v>8.3865459674971028</v>
      </c>
      <c r="G209" s="273">
        <v>579.25099999999998</v>
      </c>
      <c r="H209" s="274" t="s">
        <v>332</v>
      </c>
      <c r="I209" s="274" t="s">
        <v>837</v>
      </c>
      <c r="J209" s="274" t="s">
        <v>98</v>
      </c>
      <c r="K209" s="278" t="s">
        <v>205</v>
      </c>
      <c r="L209" s="274" t="s">
        <v>2341</v>
      </c>
      <c r="M209" s="270"/>
      <c r="N209" s="270"/>
      <c r="O209" s="270"/>
    </row>
    <row r="210" spans="1:15" hidden="1">
      <c r="A210" s="269">
        <v>45695</v>
      </c>
      <c r="B210" s="270" t="s">
        <v>838</v>
      </c>
      <c r="C210" s="276" t="s">
        <v>175</v>
      </c>
      <c r="D210" s="271" t="s">
        <v>502</v>
      </c>
      <c r="E210" s="272">
        <v>4500</v>
      </c>
      <c r="F210" s="272">
        <v>7.5478913707473927</v>
      </c>
      <c r="G210" s="273">
        <v>579.25099999999998</v>
      </c>
      <c r="H210" s="274" t="s">
        <v>332</v>
      </c>
      <c r="I210" s="274" t="s">
        <v>839</v>
      </c>
      <c r="J210" s="274" t="s">
        <v>98</v>
      </c>
      <c r="K210" s="278" t="s">
        <v>205</v>
      </c>
      <c r="L210" s="274" t="s">
        <v>2341</v>
      </c>
      <c r="M210" s="270"/>
      <c r="N210" s="270"/>
      <c r="O210" s="270"/>
    </row>
    <row r="211" spans="1:15" hidden="1">
      <c r="A211" s="269">
        <v>45695</v>
      </c>
      <c r="B211" s="270" t="s">
        <v>790</v>
      </c>
      <c r="C211" s="276" t="s">
        <v>175</v>
      </c>
      <c r="D211" s="271" t="s">
        <v>117</v>
      </c>
      <c r="E211" s="272">
        <v>7000</v>
      </c>
      <c r="F211" s="272">
        <v>11.741164354495943</v>
      </c>
      <c r="G211" s="273">
        <v>579.25099999999998</v>
      </c>
      <c r="H211" s="274" t="s">
        <v>190</v>
      </c>
      <c r="I211" s="274" t="s">
        <v>791</v>
      </c>
      <c r="J211" s="274" t="s">
        <v>98</v>
      </c>
      <c r="K211" s="278" t="s">
        <v>205</v>
      </c>
      <c r="L211" s="274" t="s">
        <v>2341</v>
      </c>
      <c r="M211" s="270"/>
      <c r="N211" s="270"/>
      <c r="O211" s="270"/>
    </row>
    <row r="212" spans="1:15" hidden="1">
      <c r="A212" s="269">
        <v>45695</v>
      </c>
      <c r="B212" s="270" t="s">
        <v>792</v>
      </c>
      <c r="C212" s="276" t="s">
        <v>179</v>
      </c>
      <c r="D212" s="271" t="s">
        <v>117</v>
      </c>
      <c r="E212" s="272">
        <v>30000</v>
      </c>
      <c r="F212" s="272">
        <v>50.319275804982617</v>
      </c>
      <c r="G212" s="273">
        <v>579.25099999999998</v>
      </c>
      <c r="H212" s="274" t="s">
        <v>190</v>
      </c>
      <c r="I212" s="274" t="s">
        <v>793</v>
      </c>
      <c r="J212" s="274" t="s">
        <v>98</v>
      </c>
      <c r="K212" s="278" t="s">
        <v>205</v>
      </c>
      <c r="L212" s="274" t="s">
        <v>2341</v>
      </c>
      <c r="M212" s="270"/>
      <c r="N212" s="270"/>
      <c r="O212" s="270"/>
    </row>
    <row r="213" spans="1:15" hidden="1">
      <c r="A213" s="269">
        <v>45695</v>
      </c>
      <c r="B213" s="270" t="s">
        <v>826</v>
      </c>
      <c r="C213" s="276" t="s">
        <v>175</v>
      </c>
      <c r="D213" s="271" t="s">
        <v>117</v>
      </c>
      <c r="E213" s="272">
        <v>7000</v>
      </c>
      <c r="F213" s="272">
        <v>11.741164354495943</v>
      </c>
      <c r="G213" s="273">
        <v>579.25099999999998</v>
      </c>
      <c r="H213" s="274" t="s">
        <v>196</v>
      </c>
      <c r="I213" s="274" t="s">
        <v>827</v>
      </c>
      <c r="J213" s="274" t="s">
        <v>98</v>
      </c>
      <c r="K213" s="278" t="s">
        <v>205</v>
      </c>
      <c r="L213" s="274" t="s">
        <v>2341</v>
      </c>
      <c r="M213" s="270"/>
      <c r="N213" s="270"/>
      <c r="O213" s="270"/>
    </row>
    <row r="214" spans="1:15" hidden="1">
      <c r="A214" s="269">
        <v>45695</v>
      </c>
      <c r="B214" s="270" t="s">
        <v>828</v>
      </c>
      <c r="C214" s="276" t="s">
        <v>179</v>
      </c>
      <c r="D214" s="271" t="s">
        <v>117</v>
      </c>
      <c r="E214" s="272">
        <v>30000</v>
      </c>
      <c r="F214" s="272">
        <v>50.319275804982617</v>
      </c>
      <c r="G214" s="273">
        <v>579.25099999999998</v>
      </c>
      <c r="H214" s="274" t="s">
        <v>196</v>
      </c>
      <c r="I214" s="274" t="s">
        <v>829</v>
      </c>
      <c r="J214" s="274" t="s">
        <v>98</v>
      </c>
      <c r="K214" s="278" t="s">
        <v>205</v>
      </c>
      <c r="L214" s="274" t="s">
        <v>2341</v>
      </c>
      <c r="M214" s="270"/>
      <c r="N214" s="270"/>
      <c r="O214" s="270"/>
    </row>
    <row r="215" spans="1:15" hidden="1">
      <c r="A215" s="269">
        <v>45695</v>
      </c>
      <c r="B215" s="270" t="s">
        <v>195</v>
      </c>
      <c r="C215" s="277" t="s">
        <v>2342</v>
      </c>
      <c r="D215" s="270" t="s">
        <v>118</v>
      </c>
      <c r="E215" s="272">
        <v>4830.0000000000009</v>
      </c>
      <c r="F215" s="272">
        <v>8.1014034046022019</v>
      </c>
      <c r="G215" s="273">
        <v>579.25099999999998</v>
      </c>
      <c r="H215" s="274" t="s">
        <v>193</v>
      </c>
      <c r="I215" s="274" t="s">
        <v>564</v>
      </c>
      <c r="J215" s="274" t="s">
        <v>98</v>
      </c>
      <c r="K215" s="278" t="s">
        <v>205</v>
      </c>
      <c r="L215" s="274" t="s">
        <v>2341</v>
      </c>
      <c r="M215" s="270"/>
      <c r="N215" s="270"/>
      <c r="O215" s="270"/>
    </row>
    <row r="216" spans="1:15" hidden="1">
      <c r="A216" s="269">
        <v>45695</v>
      </c>
      <c r="B216" s="270" t="s">
        <v>882</v>
      </c>
      <c r="C216" s="277" t="s">
        <v>2342</v>
      </c>
      <c r="D216" s="270" t="s">
        <v>118</v>
      </c>
      <c r="E216" s="272">
        <v>13615</v>
      </c>
      <c r="F216" s="272">
        <v>22.180704562790044</v>
      </c>
      <c r="G216" s="273">
        <v>579.25099999999998</v>
      </c>
      <c r="H216" s="274" t="s">
        <v>196</v>
      </c>
      <c r="I216" s="274" t="s">
        <v>669</v>
      </c>
      <c r="J216" s="274" t="s">
        <v>98</v>
      </c>
      <c r="K216" s="278" t="s">
        <v>205</v>
      </c>
      <c r="L216" s="274" t="s">
        <v>2341</v>
      </c>
      <c r="M216" s="270"/>
      <c r="N216" s="270"/>
      <c r="O216" s="270"/>
    </row>
    <row r="217" spans="1:15" hidden="1">
      <c r="A217" s="269">
        <v>45696</v>
      </c>
      <c r="B217" s="270" t="s">
        <v>763</v>
      </c>
      <c r="C217" s="276" t="s">
        <v>175</v>
      </c>
      <c r="D217" s="271" t="s">
        <v>502</v>
      </c>
      <c r="E217" s="272">
        <v>8000</v>
      </c>
      <c r="F217" s="272">
        <v>13.418473547995363</v>
      </c>
      <c r="G217" s="273">
        <v>579.25099999999998</v>
      </c>
      <c r="H217" s="274" t="s">
        <v>343</v>
      </c>
      <c r="I217" s="274" t="s">
        <v>764</v>
      </c>
      <c r="J217" s="274" t="s">
        <v>98</v>
      </c>
      <c r="K217" s="278" t="s">
        <v>205</v>
      </c>
      <c r="L217" s="274" t="s">
        <v>2341</v>
      </c>
      <c r="M217" s="270"/>
      <c r="N217" s="270"/>
      <c r="O217" s="270"/>
    </row>
    <row r="218" spans="1:15" hidden="1">
      <c r="A218" s="269">
        <v>45696</v>
      </c>
      <c r="B218" s="270" t="s">
        <v>878</v>
      </c>
      <c r="C218" s="276" t="s">
        <v>179</v>
      </c>
      <c r="D218" s="271" t="s">
        <v>502</v>
      </c>
      <c r="E218" s="272">
        <v>70000</v>
      </c>
      <c r="F218" s="272">
        <v>117.41164354495943</v>
      </c>
      <c r="G218" s="273">
        <v>579.25099999999998</v>
      </c>
      <c r="H218" s="274" t="s">
        <v>343</v>
      </c>
      <c r="I218" s="274" t="s">
        <v>765</v>
      </c>
      <c r="J218" s="274" t="s">
        <v>98</v>
      </c>
      <c r="K218" s="278" t="s">
        <v>205</v>
      </c>
      <c r="L218" s="274" t="s">
        <v>2341</v>
      </c>
      <c r="M218" s="270"/>
      <c r="N218" s="270"/>
      <c r="O218" s="270"/>
    </row>
    <row r="219" spans="1:15" hidden="1">
      <c r="A219" s="269">
        <v>45696</v>
      </c>
      <c r="B219" s="270" t="s">
        <v>766</v>
      </c>
      <c r="C219" s="276" t="s">
        <v>175</v>
      </c>
      <c r="D219" s="271" t="s">
        <v>502</v>
      </c>
      <c r="E219" s="272">
        <v>4000</v>
      </c>
      <c r="F219" s="272">
        <v>6.7092367739976817</v>
      </c>
      <c r="G219" s="273">
        <v>579.25099999999998</v>
      </c>
      <c r="H219" s="274" t="s">
        <v>343</v>
      </c>
      <c r="I219" s="274" t="s">
        <v>767</v>
      </c>
      <c r="J219" s="274" t="s">
        <v>98</v>
      </c>
      <c r="K219" s="278" t="s">
        <v>205</v>
      </c>
      <c r="L219" s="274" t="s">
        <v>2341</v>
      </c>
      <c r="M219" s="270"/>
      <c r="N219" s="270"/>
      <c r="O219" s="270"/>
    </row>
    <row r="220" spans="1:15" hidden="1">
      <c r="A220" s="269">
        <v>45697</v>
      </c>
      <c r="B220" s="270" t="s">
        <v>720</v>
      </c>
      <c r="C220" s="276" t="s">
        <v>179</v>
      </c>
      <c r="D220" s="271" t="s">
        <v>502</v>
      </c>
      <c r="E220" s="272">
        <v>30000</v>
      </c>
      <c r="F220" s="272">
        <v>50.319275804982617</v>
      </c>
      <c r="G220" s="273">
        <v>579.25099999999998</v>
      </c>
      <c r="H220" s="274" t="s">
        <v>187</v>
      </c>
      <c r="I220" s="274" t="s">
        <v>721</v>
      </c>
      <c r="J220" s="274" t="s">
        <v>98</v>
      </c>
      <c r="K220" s="278" t="s">
        <v>205</v>
      </c>
      <c r="L220" s="274" t="s">
        <v>2341</v>
      </c>
      <c r="M220" s="270"/>
      <c r="N220" s="270"/>
      <c r="O220" s="270"/>
    </row>
    <row r="221" spans="1:15" hidden="1">
      <c r="A221" s="269">
        <v>45697</v>
      </c>
      <c r="B221" s="270" t="s">
        <v>722</v>
      </c>
      <c r="C221" s="276" t="s">
        <v>175</v>
      </c>
      <c r="D221" s="271" t="s">
        <v>502</v>
      </c>
      <c r="E221" s="272">
        <v>5000</v>
      </c>
      <c r="F221" s="272">
        <v>8.3865459674971028</v>
      </c>
      <c r="G221" s="273">
        <v>579.25099999999998</v>
      </c>
      <c r="H221" s="274" t="s">
        <v>187</v>
      </c>
      <c r="I221" s="274" t="s">
        <v>723</v>
      </c>
      <c r="J221" s="274" t="s">
        <v>98</v>
      </c>
      <c r="K221" s="278" t="s">
        <v>205</v>
      </c>
      <c r="L221" s="274" t="s">
        <v>2341</v>
      </c>
      <c r="M221" s="270"/>
      <c r="N221" s="270"/>
      <c r="O221" s="270"/>
    </row>
    <row r="222" spans="1:15" hidden="1">
      <c r="A222" s="269">
        <v>45697</v>
      </c>
      <c r="B222" s="270" t="s">
        <v>724</v>
      </c>
      <c r="C222" s="276" t="s">
        <v>403</v>
      </c>
      <c r="D222" s="271" t="s">
        <v>502</v>
      </c>
      <c r="E222" s="272">
        <v>39500</v>
      </c>
      <c r="F222" s="272">
        <v>66.253713143227117</v>
      </c>
      <c r="G222" s="273">
        <v>579.25099999999998</v>
      </c>
      <c r="H222" s="274" t="s">
        <v>187</v>
      </c>
      <c r="I222" s="274" t="s">
        <v>725</v>
      </c>
      <c r="J222" s="274" t="s">
        <v>98</v>
      </c>
      <c r="K222" s="278" t="s">
        <v>205</v>
      </c>
      <c r="L222" s="274" t="s">
        <v>2341</v>
      </c>
      <c r="M222" s="270"/>
      <c r="N222" s="270"/>
      <c r="O222" s="270"/>
    </row>
    <row r="223" spans="1:15" hidden="1">
      <c r="A223" s="269">
        <v>45697</v>
      </c>
      <c r="B223" s="270" t="s">
        <v>840</v>
      </c>
      <c r="C223" s="276" t="s">
        <v>179</v>
      </c>
      <c r="D223" s="271" t="s">
        <v>502</v>
      </c>
      <c r="E223" s="272">
        <v>30000</v>
      </c>
      <c r="F223" s="272">
        <v>50.319275804982617</v>
      </c>
      <c r="G223" s="273">
        <v>579.25099999999998</v>
      </c>
      <c r="H223" s="274" t="s">
        <v>332</v>
      </c>
      <c r="I223" s="274" t="s">
        <v>841</v>
      </c>
      <c r="J223" s="274" t="s">
        <v>98</v>
      </c>
      <c r="K223" s="278" t="s">
        <v>205</v>
      </c>
      <c r="L223" s="274" t="s">
        <v>2341</v>
      </c>
      <c r="M223" s="270"/>
      <c r="N223" s="270"/>
      <c r="O223" s="270"/>
    </row>
    <row r="224" spans="1:15" hidden="1">
      <c r="A224" s="269">
        <v>45697</v>
      </c>
      <c r="B224" s="270" t="s">
        <v>842</v>
      </c>
      <c r="C224" s="276" t="s">
        <v>175</v>
      </c>
      <c r="D224" s="271" t="s">
        <v>502</v>
      </c>
      <c r="E224" s="272">
        <v>3000</v>
      </c>
      <c r="F224" s="272">
        <v>5.0319275804982615</v>
      </c>
      <c r="G224" s="273">
        <v>579.25099999999998</v>
      </c>
      <c r="H224" s="274" t="s">
        <v>332</v>
      </c>
      <c r="I224" s="274" t="s">
        <v>843</v>
      </c>
      <c r="J224" s="274" t="s">
        <v>98</v>
      </c>
      <c r="K224" s="278" t="s">
        <v>205</v>
      </c>
      <c r="L224" s="274" t="s">
        <v>2341</v>
      </c>
      <c r="M224" s="270"/>
      <c r="N224" s="270"/>
      <c r="O224" s="270"/>
    </row>
    <row r="225" spans="1:15" hidden="1">
      <c r="A225" s="269">
        <v>45698</v>
      </c>
      <c r="B225" s="270" t="s">
        <v>881</v>
      </c>
      <c r="C225" s="276" t="s">
        <v>179</v>
      </c>
      <c r="D225" s="271" t="s">
        <v>502</v>
      </c>
      <c r="E225" s="272">
        <v>15000</v>
      </c>
      <c r="F225" s="272">
        <v>25.159637902491308</v>
      </c>
      <c r="G225" s="273">
        <v>579.25099999999998</v>
      </c>
      <c r="H225" s="274" t="s">
        <v>187</v>
      </c>
      <c r="I225" s="274" t="s">
        <v>726</v>
      </c>
      <c r="J225" s="274" t="s">
        <v>98</v>
      </c>
      <c r="K225" s="278" t="s">
        <v>205</v>
      </c>
      <c r="L225" s="274" t="s">
        <v>2341</v>
      </c>
      <c r="M225" s="270"/>
      <c r="N225" s="270"/>
      <c r="O225" s="270"/>
    </row>
    <row r="226" spans="1:15" hidden="1">
      <c r="A226" s="269">
        <v>45698</v>
      </c>
      <c r="B226" s="270" t="s">
        <v>727</v>
      </c>
      <c r="C226" s="276" t="s">
        <v>175</v>
      </c>
      <c r="D226" s="271" t="s">
        <v>502</v>
      </c>
      <c r="E226" s="272">
        <v>5000</v>
      </c>
      <c r="F226" s="272">
        <v>8.3865459674971028</v>
      </c>
      <c r="G226" s="273">
        <v>579.25099999999998</v>
      </c>
      <c r="H226" s="274" t="s">
        <v>187</v>
      </c>
      <c r="I226" s="274" t="s">
        <v>728</v>
      </c>
      <c r="J226" s="274" t="s">
        <v>98</v>
      </c>
      <c r="K226" s="278" t="s">
        <v>205</v>
      </c>
      <c r="L226" s="274" t="s">
        <v>2341</v>
      </c>
      <c r="M226" s="270"/>
      <c r="N226" s="270"/>
      <c r="O226" s="270"/>
    </row>
    <row r="227" spans="1:15" hidden="1">
      <c r="A227" s="269">
        <v>45698</v>
      </c>
      <c r="B227" s="270" t="s">
        <v>749</v>
      </c>
      <c r="C227" s="276" t="s">
        <v>179</v>
      </c>
      <c r="D227" s="271" t="s">
        <v>502</v>
      </c>
      <c r="E227" s="272">
        <v>60000</v>
      </c>
      <c r="F227" s="272">
        <v>100.63855160996523</v>
      </c>
      <c r="G227" s="273">
        <v>579.25099999999998</v>
      </c>
      <c r="H227" s="274" t="s">
        <v>176</v>
      </c>
      <c r="I227" s="274" t="s">
        <v>750</v>
      </c>
      <c r="J227" s="274" t="s">
        <v>98</v>
      </c>
      <c r="K227" s="278" t="s">
        <v>205</v>
      </c>
      <c r="L227" s="274" t="s">
        <v>2341</v>
      </c>
      <c r="M227" s="270"/>
      <c r="N227" s="270"/>
      <c r="O227" s="270"/>
    </row>
    <row r="228" spans="1:15" hidden="1">
      <c r="A228" s="269">
        <v>45698</v>
      </c>
      <c r="B228" s="270" t="s">
        <v>751</v>
      </c>
      <c r="C228" s="276" t="s">
        <v>175</v>
      </c>
      <c r="D228" s="271" t="s">
        <v>502</v>
      </c>
      <c r="E228" s="272">
        <v>3000</v>
      </c>
      <c r="F228" s="272">
        <v>5.0319275804982615</v>
      </c>
      <c r="G228" s="273">
        <v>579.25099999999998</v>
      </c>
      <c r="H228" s="274" t="s">
        <v>176</v>
      </c>
      <c r="I228" s="274" t="s">
        <v>752</v>
      </c>
      <c r="J228" s="274" t="s">
        <v>98</v>
      </c>
      <c r="K228" s="278" t="s">
        <v>205</v>
      </c>
      <c r="L228" s="274" t="s">
        <v>2341</v>
      </c>
      <c r="M228" s="270"/>
      <c r="N228" s="270"/>
      <c r="O228" s="270"/>
    </row>
    <row r="229" spans="1:15" hidden="1">
      <c r="A229" s="269">
        <v>45698</v>
      </c>
      <c r="B229" s="270" t="s">
        <v>614</v>
      </c>
      <c r="C229" s="277" t="s">
        <v>2342</v>
      </c>
      <c r="D229" s="270" t="s">
        <v>118</v>
      </c>
      <c r="E229" s="272">
        <v>4110</v>
      </c>
      <c r="F229" s="272">
        <v>6.8937407852826187</v>
      </c>
      <c r="G229" s="273">
        <v>579.25099999999998</v>
      </c>
      <c r="H229" s="274" t="s">
        <v>196</v>
      </c>
      <c r="I229" s="274" t="s">
        <v>615</v>
      </c>
      <c r="J229" s="274" t="s">
        <v>98</v>
      </c>
      <c r="K229" s="278" t="s">
        <v>205</v>
      </c>
      <c r="L229" s="274" t="s">
        <v>2341</v>
      </c>
      <c r="M229" s="270"/>
      <c r="N229" s="270"/>
      <c r="O229" s="270"/>
    </row>
    <row r="230" spans="1:15" hidden="1">
      <c r="A230" s="269">
        <v>45699</v>
      </c>
      <c r="B230" s="270" t="s">
        <v>618</v>
      </c>
      <c r="C230" s="270" t="s">
        <v>127</v>
      </c>
      <c r="D230" s="270" t="s">
        <v>118</v>
      </c>
      <c r="E230" s="272">
        <v>94430</v>
      </c>
      <c r="F230" s="272">
        <v>158.38830714215027</v>
      </c>
      <c r="G230" s="273">
        <v>579.25099999999998</v>
      </c>
      <c r="H230" s="274" t="s">
        <v>157</v>
      </c>
      <c r="I230" s="274" t="s">
        <v>619</v>
      </c>
      <c r="J230" s="274" t="s">
        <v>98</v>
      </c>
      <c r="K230" s="278" t="s">
        <v>205</v>
      </c>
      <c r="L230" s="274" t="s">
        <v>2341</v>
      </c>
      <c r="M230" s="270"/>
      <c r="N230" s="270"/>
      <c r="O230" s="270"/>
    </row>
    <row r="231" spans="1:15" hidden="1">
      <c r="A231" s="269">
        <v>45699</v>
      </c>
      <c r="B231" s="270" t="s">
        <v>620</v>
      </c>
      <c r="C231" s="270" t="s">
        <v>127</v>
      </c>
      <c r="D231" s="271" t="s">
        <v>117</v>
      </c>
      <c r="E231" s="272">
        <v>30000</v>
      </c>
      <c r="F231" s="272">
        <v>50.319275804982617</v>
      </c>
      <c r="G231" s="273">
        <v>579.25099999999998</v>
      </c>
      <c r="H231" s="274" t="s">
        <v>157</v>
      </c>
      <c r="I231" s="274" t="s">
        <v>621</v>
      </c>
      <c r="J231" s="274" t="s">
        <v>98</v>
      </c>
      <c r="K231" s="278" t="s">
        <v>205</v>
      </c>
      <c r="L231" s="274" t="s">
        <v>2341</v>
      </c>
      <c r="M231" s="270"/>
      <c r="N231" s="270"/>
      <c r="O231" s="270"/>
    </row>
    <row r="232" spans="1:15" hidden="1">
      <c r="A232" s="269">
        <v>45699</v>
      </c>
      <c r="B232" s="270" t="s">
        <v>622</v>
      </c>
      <c r="C232" s="270" t="s">
        <v>127</v>
      </c>
      <c r="D232" s="271" t="s">
        <v>117</v>
      </c>
      <c r="E232" s="272">
        <v>30000</v>
      </c>
      <c r="F232" s="272">
        <v>50.319275804982617</v>
      </c>
      <c r="G232" s="273">
        <v>579.25099999999998</v>
      </c>
      <c r="H232" s="274" t="s">
        <v>157</v>
      </c>
      <c r="I232" s="274" t="s">
        <v>623</v>
      </c>
      <c r="J232" s="274" t="s">
        <v>98</v>
      </c>
      <c r="K232" s="278" t="s">
        <v>205</v>
      </c>
      <c r="L232" s="274" t="s">
        <v>2341</v>
      </c>
      <c r="M232" s="270"/>
      <c r="N232" s="270"/>
      <c r="O232" s="270"/>
    </row>
    <row r="233" spans="1:15" hidden="1">
      <c r="A233" s="269">
        <v>45699</v>
      </c>
      <c r="B233" s="270" t="s">
        <v>624</v>
      </c>
      <c r="C233" s="270" t="s">
        <v>127</v>
      </c>
      <c r="D233" s="271" t="s">
        <v>117</v>
      </c>
      <c r="E233" s="272">
        <v>30000</v>
      </c>
      <c r="F233" s="272">
        <v>50.319275804982617</v>
      </c>
      <c r="G233" s="273">
        <v>579.25099999999998</v>
      </c>
      <c r="H233" s="274" t="s">
        <v>157</v>
      </c>
      <c r="I233" s="274" t="s">
        <v>625</v>
      </c>
      <c r="J233" s="274" t="s">
        <v>98</v>
      </c>
      <c r="K233" s="278" t="s">
        <v>205</v>
      </c>
      <c r="L233" s="274" t="s">
        <v>2341</v>
      </c>
      <c r="M233" s="270"/>
      <c r="N233" s="270"/>
      <c r="O233" s="270"/>
    </row>
    <row r="234" spans="1:15" hidden="1">
      <c r="A234" s="269">
        <v>45699</v>
      </c>
      <c r="B234" s="270" t="s">
        <v>626</v>
      </c>
      <c r="C234" s="270" t="s">
        <v>127</v>
      </c>
      <c r="D234" s="271" t="s">
        <v>117</v>
      </c>
      <c r="E234" s="272">
        <v>30000</v>
      </c>
      <c r="F234" s="272">
        <v>50.319275804982617</v>
      </c>
      <c r="G234" s="273">
        <v>579.25099999999998</v>
      </c>
      <c r="H234" s="274" t="s">
        <v>157</v>
      </c>
      <c r="I234" s="274" t="s">
        <v>627</v>
      </c>
      <c r="J234" s="274" t="s">
        <v>98</v>
      </c>
      <c r="K234" s="278" t="s">
        <v>205</v>
      </c>
      <c r="L234" s="274" t="s">
        <v>2341</v>
      </c>
      <c r="M234" s="270"/>
      <c r="N234" s="270"/>
      <c r="O234" s="270"/>
    </row>
    <row r="235" spans="1:15" hidden="1">
      <c r="A235" s="269">
        <v>45699</v>
      </c>
      <c r="B235" s="270" t="s">
        <v>628</v>
      </c>
      <c r="C235" s="270" t="s">
        <v>127</v>
      </c>
      <c r="D235" s="270" t="s">
        <v>120</v>
      </c>
      <c r="E235" s="272">
        <v>30000</v>
      </c>
      <c r="F235" s="272">
        <v>50.319275804982617</v>
      </c>
      <c r="G235" s="273">
        <v>579.25099999999998</v>
      </c>
      <c r="H235" s="274" t="s">
        <v>157</v>
      </c>
      <c r="I235" s="274" t="s">
        <v>629</v>
      </c>
      <c r="J235" s="274" t="s">
        <v>98</v>
      </c>
      <c r="K235" s="278" t="s">
        <v>205</v>
      </c>
      <c r="L235" s="274" t="s">
        <v>2341</v>
      </c>
      <c r="M235" s="270"/>
      <c r="N235" s="270"/>
      <c r="O235" s="270"/>
    </row>
    <row r="236" spans="1:15" hidden="1">
      <c r="A236" s="269">
        <v>45699</v>
      </c>
      <c r="B236" s="270" t="s">
        <v>630</v>
      </c>
      <c r="C236" s="270" t="s">
        <v>272</v>
      </c>
      <c r="D236" s="270" t="s">
        <v>2343</v>
      </c>
      <c r="E236" s="272">
        <v>35000</v>
      </c>
      <c r="F236" s="272">
        <v>58.705821772479716</v>
      </c>
      <c r="G236" s="273">
        <v>579.25099999999998</v>
      </c>
      <c r="H236" s="274" t="s">
        <v>157</v>
      </c>
      <c r="I236" s="274" t="s">
        <v>631</v>
      </c>
      <c r="J236" s="274" t="s">
        <v>98</v>
      </c>
      <c r="K236" s="278" t="s">
        <v>205</v>
      </c>
      <c r="L236" s="274" t="s">
        <v>2341</v>
      </c>
      <c r="M236" s="270"/>
      <c r="N236" s="270"/>
      <c r="O236" s="270"/>
    </row>
    <row r="237" spans="1:15" hidden="1">
      <c r="A237" s="269">
        <v>45699</v>
      </c>
      <c r="B237" s="270" t="s">
        <v>632</v>
      </c>
      <c r="C237" s="270" t="s">
        <v>272</v>
      </c>
      <c r="D237" s="270" t="s">
        <v>2343</v>
      </c>
      <c r="E237" s="272">
        <v>30000</v>
      </c>
      <c r="F237" s="272">
        <v>50.319275804982617</v>
      </c>
      <c r="G237" s="273">
        <v>579.25099999999998</v>
      </c>
      <c r="H237" s="274" t="s">
        <v>157</v>
      </c>
      <c r="I237" s="274" t="s">
        <v>633</v>
      </c>
      <c r="J237" s="274" t="s">
        <v>98</v>
      </c>
      <c r="K237" s="278" t="s">
        <v>205</v>
      </c>
      <c r="L237" s="274" t="s">
        <v>2341</v>
      </c>
      <c r="M237" s="270"/>
      <c r="N237" s="270"/>
      <c r="O237" s="270"/>
    </row>
    <row r="238" spans="1:15" hidden="1">
      <c r="A238" s="269">
        <v>45699</v>
      </c>
      <c r="B238" s="270" t="s">
        <v>634</v>
      </c>
      <c r="C238" s="270" t="s">
        <v>272</v>
      </c>
      <c r="D238" s="270" t="s">
        <v>2343</v>
      </c>
      <c r="E238" s="272">
        <v>30000</v>
      </c>
      <c r="F238" s="272">
        <v>50.319275804982617</v>
      </c>
      <c r="G238" s="273">
        <v>579.25099999999998</v>
      </c>
      <c r="H238" s="274" t="s">
        <v>157</v>
      </c>
      <c r="I238" s="274" t="s">
        <v>635</v>
      </c>
      <c r="J238" s="274" t="s">
        <v>98</v>
      </c>
      <c r="K238" s="278" t="s">
        <v>205</v>
      </c>
      <c r="L238" s="274" t="s">
        <v>2341</v>
      </c>
      <c r="M238" s="270"/>
      <c r="N238" s="270"/>
      <c r="O238" s="270"/>
    </row>
    <row r="239" spans="1:15" hidden="1">
      <c r="A239" s="269">
        <v>45699</v>
      </c>
      <c r="B239" s="270" t="s">
        <v>636</v>
      </c>
      <c r="C239" s="270" t="s">
        <v>272</v>
      </c>
      <c r="D239" s="270" t="s">
        <v>2343</v>
      </c>
      <c r="E239" s="272">
        <v>30000</v>
      </c>
      <c r="F239" s="272">
        <v>50.319275804982617</v>
      </c>
      <c r="G239" s="273">
        <v>579.25099999999998</v>
      </c>
      <c r="H239" s="274" t="s">
        <v>157</v>
      </c>
      <c r="I239" s="274" t="s">
        <v>637</v>
      </c>
      <c r="J239" s="274" t="s">
        <v>98</v>
      </c>
      <c r="K239" s="278" t="s">
        <v>205</v>
      </c>
      <c r="L239" s="274" t="s">
        <v>2341</v>
      </c>
      <c r="M239" s="270"/>
      <c r="N239" s="270"/>
      <c r="O239" s="270"/>
    </row>
    <row r="240" spans="1:15" hidden="1">
      <c r="A240" s="269">
        <v>45699</v>
      </c>
      <c r="B240" s="270" t="s">
        <v>768</v>
      </c>
      <c r="C240" s="276" t="s">
        <v>179</v>
      </c>
      <c r="D240" s="271" t="s">
        <v>502</v>
      </c>
      <c r="E240" s="272">
        <v>45000</v>
      </c>
      <c r="F240" s="272">
        <v>75.478913707473922</v>
      </c>
      <c r="G240" s="273">
        <v>579.25099999999998</v>
      </c>
      <c r="H240" s="274" t="s">
        <v>343</v>
      </c>
      <c r="I240" s="274" t="s">
        <v>769</v>
      </c>
      <c r="J240" s="274" t="s">
        <v>98</v>
      </c>
      <c r="K240" s="278" t="s">
        <v>205</v>
      </c>
      <c r="L240" s="274" t="s">
        <v>2341</v>
      </c>
      <c r="M240" s="270"/>
      <c r="N240" s="270"/>
      <c r="O240" s="270"/>
    </row>
    <row r="241" spans="1:15" hidden="1">
      <c r="A241" s="269">
        <v>45699</v>
      </c>
      <c r="B241" s="270" t="s">
        <v>770</v>
      </c>
      <c r="C241" s="276" t="s">
        <v>175</v>
      </c>
      <c r="D241" s="271" t="s">
        <v>502</v>
      </c>
      <c r="E241" s="272">
        <v>4000</v>
      </c>
      <c r="F241" s="272">
        <v>6.7092367739976817</v>
      </c>
      <c r="G241" s="273">
        <v>579.25099999999998</v>
      </c>
      <c r="H241" s="274" t="s">
        <v>343</v>
      </c>
      <c r="I241" s="274" t="s">
        <v>771</v>
      </c>
      <c r="J241" s="274" t="s">
        <v>98</v>
      </c>
      <c r="K241" s="278" t="s">
        <v>205</v>
      </c>
      <c r="L241" s="274" t="s">
        <v>2341</v>
      </c>
      <c r="M241" s="270"/>
      <c r="N241" s="270"/>
      <c r="O241" s="270"/>
    </row>
    <row r="242" spans="1:15" hidden="1">
      <c r="A242" s="269">
        <v>45699</v>
      </c>
      <c r="B242" s="270" t="s">
        <v>772</v>
      </c>
      <c r="C242" s="276" t="s">
        <v>175</v>
      </c>
      <c r="D242" s="271" t="s">
        <v>502</v>
      </c>
      <c r="E242" s="272">
        <v>3000</v>
      </c>
      <c r="F242" s="272">
        <v>4.8874119492008914</v>
      </c>
      <c r="G242" s="273">
        <v>613.82180000000005</v>
      </c>
      <c r="H242" s="274" t="s">
        <v>343</v>
      </c>
      <c r="I242" s="274" t="s">
        <v>773</v>
      </c>
      <c r="J242" s="274" t="s">
        <v>98</v>
      </c>
      <c r="K242" s="274" t="s">
        <v>499</v>
      </c>
      <c r="L242" s="274" t="s">
        <v>2341</v>
      </c>
      <c r="M242" s="270"/>
      <c r="N242" s="270"/>
      <c r="O242" s="270"/>
    </row>
    <row r="243" spans="1:15" hidden="1">
      <c r="A243" s="269">
        <v>45699</v>
      </c>
      <c r="B243" s="270" t="s">
        <v>565</v>
      </c>
      <c r="C243" s="276" t="s">
        <v>175</v>
      </c>
      <c r="D243" s="271" t="s">
        <v>117</v>
      </c>
      <c r="E243" s="272">
        <v>7000</v>
      </c>
      <c r="F243" s="272">
        <v>11.403961214802081</v>
      </c>
      <c r="G243" s="273">
        <v>613.82180000000005</v>
      </c>
      <c r="H243" s="274" t="s">
        <v>193</v>
      </c>
      <c r="I243" s="274" t="s">
        <v>566</v>
      </c>
      <c r="J243" s="274" t="s">
        <v>98</v>
      </c>
      <c r="K243" s="274" t="s">
        <v>499</v>
      </c>
      <c r="L243" s="274" t="s">
        <v>2341</v>
      </c>
      <c r="M243" s="270"/>
      <c r="N243" s="270"/>
      <c r="O243" s="270"/>
    </row>
    <row r="244" spans="1:15" hidden="1">
      <c r="A244" s="269">
        <v>45699</v>
      </c>
      <c r="B244" s="270" t="s">
        <v>567</v>
      </c>
      <c r="C244" s="270" t="s">
        <v>263</v>
      </c>
      <c r="D244" s="271" t="s">
        <v>117</v>
      </c>
      <c r="E244" s="272">
        <v>70000</v>
      </c>
      <c r="F244" s="272">
        <v>117.41164354495943</v>
      </c>
      <c r="G244" s="273">
        <v>579.25099999999998</v>
      </c>
      <c r="H244" s="274" t="s">
        <v>193</v>
      </c>
      <c r="I244" s="274" t="s">
        <v>568</v>
      </c>
      <c r="J244" s="274" t="s">
        <v>98</v>
      </c>
      <c r="K244" s="278" t="s">
        <v>205</v>
      </c>
      <c r="L244" s="274" t="s">
        <v>2341</v>
      </c>
      <c r="M244" s="270"/>
      <c r="N244" s="270"/>
      <c r="O244" s="270"/>
    </row>
    <row r="245" spans="1:15" hidden="1">
      <c r="A245" s="269">
        <v>45699</v>
      </c>
      <c r="B245" s="270" t="s">
        <v>541</v>
      </c>
      <c r="C245" s="270" t="s">
        <v>263</v>
      </c>
      <c r="D245" s="271" t="s">
        <v>117</v>
      </c>
      <c r="E245" s="272">
        <v>200000</v>
      </c>
      <c r="F245" s="272">
        <v>335.46183869988408</v>
      </c>
      <c r="G245" s="273">
        <v>579.25099999999998</v>
      </c>
      <c r="H245" s="274" t="s">
        <v>148</v>
      </c>
      <c r="I245" s="274" t="s">
        <v>542</v>
      </c>
      <c r="J245" s="274" t="s">
        <v>98</v>
      </c>
      <c r="K245" s="278" t="s">
        <v>205</v>
      </c>
      <c r="L245" s="274" t="s">
        <v>2341</v>
      </c>
      <c r="M245" s="270"/>
      <c r="N245" s="270"/>
      <c r="O245" s="270"/>
    </row>
    <row r="246" spans="1:15" hidden="1">
      <c r="A246" s="269">
        <v>45699</v>
      </c>
      <c r="B246" s="270" t="s">
        <v>616</v>
      </c>
      <c r="C246" s="277" t="s">
        <v>2342</v>
      </c>
      <c r="D246" s="270" t="s">
        <v>118</v>
      </c>
      <c r="E246" s="272">
        <v>6720</v>
      </c>
      <c r="F246" s="272">
        <v>11.271517780316106</v>
      </c>
      <c r="G246" s="273">
        <v>596.19299999999998</v>
      </c>
      <c r="H246" s="274" t="s">
        <v>196</v>
      </c>
      <c r="I246" s="274" t="s">
        <v>617</v>
      </c>
      <c r="J246" s="274" t="s">
        <v>98</v>
      </c>
      <c r="K246" s="274" t="s">
        <v>2149</v>
      </c>
      <c r="L246" s="274" t="s">
        <v>2341</v>
      </c>
      <c r="M246" s="270"/>
      <c r="N246" s="270"/>
      <c r="O246" s="270"/>
    </row>
    <row r="247" spans="1:15" hidden="1">
      <c r="A247" s="269">
        <v>45700</v>
      </c>
      <c r="B247" s="270" t="s">
        <v>844</v>
      </c>
      <c r="C247" s="276" t="s">
        <v>179</v>
      </c>
      <c r="D247" s="271" t="s">
        <v>502</v>
      </c>
      <c r="E247" s="272">
        <v>45000</v>
      </c>
      <c r="F247" s="272">
        <v>75.478913707473922</v>
      </c>
      <c r="G247" s="273">
        <v>596.19299999999998</v>
      </c>
      <c r="H247" s="274" t="s">
        <v>332</v>
      </c>
      <c r="I247" s="274" t="s">
        <v>845</v>
      </c>
      <c r="J247" s="274" t="s">
        <v>98</v>
      </c>
      <c r="K247" s="274" t="s">
        <v>2149</v>
      </c>
      <c r="L247" s="274" t="s">
        <v>2341</v>
      </c>
      <c r="M247" s="270"/>
      <c r="N247" s="270"/>
      <c r="O247" s="270"/>
    </row>
    <row r="248" spans="1:15" hidden="1">
      <c r="A248" s="269">
        <v>45700</v>
      </c>
      <c r="B248" s="270" t="s">
        <v>846</v>
      </c>
      <c r="C248" s="276" t="s">
        <v>175</v>
      </c>
      <c r="D248" s="271" t="s">
        <v>502</v>
      </c>
      <c r="E248" s="272">
        <v>7000</v>
      </c>
      <c r="F248" s="272">
        <v>11.741164354495943</v>
      </c>
      <c r="G248" s="273">
        <v>596.19299999999998</v>
      </c>
      <c r="H248" s="274" t="s">
        <v>332</v>
      </c>
      <c r="I248" s="274" t="s">
        <v>845</v>
      </c>
      <c r="J248" s="274" t="s">
        <v>98</v>
      </c>
      <c r="K248" s="274" t="s">
        <v>2149</v>
      </c>
      <c r="L248" s="274" t="s">
        <v>2341</v>
      </c>
      <c r="M248" s="270"/>
      <c r="N248" s="270"/>
      <c r="O248" s="270"/>
    </row>
    <row r="249" spans="1:15" hidden="1">
      <c r="A249" s="269">
        <v>45700</v>
      </c>
      <c r="B249" s="270" t="s">
        <v>2345</v>
      </c>
      <c r="C249" s="276" t="s">
        <v>179</v>
      </c>
      <c r="D249" s="271" t="s">
        <v>117</v>
      </c>
      <c r="E249" s="272">
        <v>170000</v>
      </c>
      <c r="F249" s="272">
        <v>285.14256289490152</v>
      </c>
      <c r="G249" s="273">
        <v>596.19299999999998</v>
      </c>
      <c r="H249" s="274" t="s">
        <v>193</v>
      </c>
      <c r="I249" s="274" t="s">
        <v>569</v>
      </c>
      <c r="J249" s="274" t="s">
        <v>98</v>
      </c>
      <c r="K249" s="274" t="s">
        <v>2149</v>
      </c>
      <c r="L249" s="274" t="s">
        <v>2341</v>
      </c>
      <c r="M249" s="270"/>
      <c r="N249" s="270"/>
      <c r="O249" s="270"/>
    </row>
    <row r="250" spans="1:15" hidden="1">
      <c r="A250" s="269">
        <v>45700</v>
      </c>
      <c r="B250" s="270" t="s">
        <v>806</v>
      </c>
      <c r="C250" s="276" t="s">
        <v>175</v>
      </c>
      <c r="D250" s="271" t="s">
        <v>117</v>
      </c>
      <c r="E250" s="272">
        <v>8000</v>
      </c>
      <c r="F250" s="272">
        <v>13.418473547995363</v>
      </c>
      <c r="G250" s="273">
        <v>596.19299999999998</v>
      </c>
      <c r="H250" s="274" t="s">
        <v>196</v>
      </c>
      <c r="I250" s="274" t="s">
        <v>807</v>
      </c>
      <c r="J250" s="274" t="s">
        <v>98</v>
      </c>
      <c r="K250" s="274" t="s">
        <v>2149</v>
      </c>
      <c r="L250" s="274" t="s">
        <v>2341</v>
      </c>
      <c r="M250" s="270"/>
      <c r="N250" s="270"/>
      <c r="O250" s="270"/>
    </row>
    <row r="251" spans="1:15" hidden="1">
      <c r="A251" s="269">
        <v>45700</v>
      </c>
      <c r="B251" s="270" t="s">
        <v>195</v>
      </c>
      <c r="C251" s="277" t="s">
        <v>2342</v>
      </c>
      <c r="D251" s="270" t="s">
        <v>118</v>
      </c>
      <c r="E251" s="272">
        <v>1980</v>
      </c>
      <c r="F251" s="272">
        <v>3.3210722031288529</v>
      </c>
      <c r="G251" s="273">
        <v>596.19299999999998</v>
      </c>
      <c r="H251" s="274" t="s">
        <v>196</v>
      </c>
      <c r="I251" s="274" t="s">
        <v>638</v>
      </c>
      <c r="J251" s="274" t="s">
        <v>98</v>
      </c>
      <c r="K251" s="274" t="s">
        <v>2149</v>
      </c>
      <c r="L251" s="274" t="s">
        <v>2341</v>
      </c>
      <c r="M251" s="270"/>
      <c r="N251" s="270"/>
      <c r="O251" s="270"/>
    </row>
    <row r="252" spans="1:15" hidden="1">
      <c r="A252" s="269">
        <v>45700</v>
      </c>
      <c r="B252" s="270" t="s">
        <v>639</v>
      </c>
      <c r="C252" s="270" t="s">
        <v>263</v>
      </c>
      <c r="D252" s="271" t="s">
        <v>117</v>
      </c>
      <c r="E252" s="272">
        <v>80000</v>
      </c>
      <c r="F252" s="272">
        <v>134.18473547995364</v>
      </c>
      <c r="G252" s="273">
        <v>596.19299999999998</v>
      </c>
      <c r="H252" s="274" t="s">
        <v>196</v>
      </c>
      <c r="I252" s="274" t="s">
        <v>640</v>
      </c>
      <c r="J252" s="274" t="s">
        <v>98</v>
      </c>
      <c r="K252" s="274" t="s">
        <v>2149</v>
      </c>
      <c r="L252" s="274" t="s">
        <v>2341</v>
      </c>
      <c r="M252" s="270"/>
      <c r="N252" s="270"/>
      <c r="O252" s="270"/>
    </row>
    <row r="253" spans="1:15" hidden="1">
      <c r="A253" s="269">
        <v>45701</v>
      </c>
      <c r="B253" s="270" t="s">
        <v>879</v>
      </c>
      <c r="C253" s="270" t="s">
        <v>127</v>
      </c>
      <c r="D253" s="271" t="s">
        <v>119</v>
      </c>
      <c r="E253" s="272">
        <v>129464</v>
      </c>
      <c r="F253" s="272">
        <v>217.15115742720897</v>
      </c>
      <c r="G253" s="273">
        <v>596.19299999999998</v>
      </c>
      <c r="H253" s="274" t="s">
        <v>157</v>
      </c>
      <c r="I253" s="274" t="s">
        <v>641</v>
      </c>
      <c r="J253" s="274" t="s">
        <v>98</v>
      </c>
      <c r="K253" s="274" t="s">
        <v>2149</v>
      </c>
      <c r="L253" s="274" t="s">
        <v>2341</v>
      </c>
      <c r="M253" s="270"/>
      <c r="N253" s="270"/>
      <c r="O253" s="270"/>
    </row>
    <row r="254" spans="1:15" hidden="1">
      <c r="A254" s="269">
        <v>45701</v>
      </c>
      <c r="B254" s="270" t="s">
        <v>887</v>
      </c>
      <c r="C254" s="270" t="s">
        <v>127</v>
      </c>
      <c r="D254" s="271" t="s">
        <v>119</v>
      </c>
      <c r="E254" s="272">
        <v>80500</v>
      </c>
      <c r="F254" s="272">
        <v>135.02339007670335</v>
      </c>
      <c r="G254" s="273">
        <v>596.19299999999998</v>
      </c>
      <c r="H254" s="274" t="s">
        <v>157</v>
      </c>
      <c r="I254" s="274" t="s">
        <v>642</v>
      </c>
      <c r="J254" s="274" t="s">
        <v>98</v>
      </c>
      <c r="K254" s="274" t="s">
        <v>2149</v>
      </c>
      <c r="L254" s="274" t="s">
        <v>2341</v>
      </c>
      <c r="M254" s="270"/>
      <c r="N254" s="270"/>
      <c r="O254" s="270"/>
    </row>
    <row r="255" spans="1:15" hidden="1">
      <c r="A255" s="269">
        <v>45701</v>
      </c>
      <c r="B255" s="270" t="s">
        <v>774</v>
      </c>
      <c r="C255" s="276" t="s">
        <v>179</v>
      </c>
      <c r="D255" s="271" t="s">
        <v>502</v>
      </c>
      <c r="E255" s="272">
        <v>30000</v>
      </c>
      <c r="F255" s="272">
        <v>50.319275804982617</v>
      </c>
      <c r="G255" s="273">
        <v>596.19299999999998</v>
      </c>
      <c r="H255" s="274" t="s">
        <v>343</v>
      </c>
      <c r="I255" s="274" t="s">
        <v>775</v>
      </c>
      <c r="J255" s="274" t="s">
        <v>98</v>
      </c>
      <c r="K255" s="274" t="s">
        <v>2149</v>
      </c>
      <c r="L255" s="274" t="s">
        <v>2341</v>
      </c>
      <c r="M255" s="270"/>
      <c r="N255" s="270"/>
      <c r="O255" s="270"/>
    </row>
    <row r="256" spans="1:15" hidden="1">
      <c r="A256" s="269">
        <v>45701</v>
      </c>
      <c r="B256" s="270" t="s">
        <v>776</v>
      </c>
      <c r="C256" s="276" t="s">
        <v>175</v>
      </c>
      <c r="D256" s="271" t="s">
        <v>502</v>
      </c>
      <c r="E256" s="272">
        <v>3000</v>
      </c>
      <c r="F256" s="272">
        <v>5.0319275804982615</v>
      </c>
      <c r="G256" s="273">
        <v>596.19299999999998</v>
      </c>
      <c r="H256" s="274" t="s">
        <v>343</v>
      </c>
      <c r="I256" s="274" t="s">
        <v>777</v>
      </c>
      <c r="J256" s="274" t="s">
        <v>98</v>
      </c>
      <c r="K256" s="274" t="s">
        <v>2149</v>
      </c>
      <c r="L256" s="274" t="s">
        <v>2341</v>
      </c>
      <c r="M256" s="270"/>
      <c r="N256" s="270"/>
      <c r="O256" s="270"/>
    </row>
    <row r="257" spans="1:15" hidden="1">
      <c r="A257" s="269">
        <v>45701</v>
      </c>
      <c r="B257" s="270" t="s">
        <v>808</v>
      </c>
      <c r="C257" s="276" t="s">
        <v>179</v>
      </c>
      <c r="D257" s="271" t="s">
        <v>117</v>
      </c>
      <c r="E257" s="272">
        <v>20000</v>
      </c>
      <c r="F257" s="272">
        <v>32.582746328005946</v>
      </c>
      <c r="G257" s="273">
        <v>613.82180000000005</v>
      </c>
      <c r="H257" s="274" t="s">
        <v>196</v>
      </c>
      <c r="I257" s="274" t="s">
        <v>809</v>
      </c>
      <c r="J257" s="274" t="s">
        <v>98</v>
      </c>
      <c r="K257" s="274" t="s">
        <v>499</v>
      </c>
      <c r="L257" s="274" t="s">
        <v>2341</v>
      </c>
      <c r="M257" s="270"/>
      <c r="N257" s="270"/>
      <c r="O257" s="270"/>
    </row>
    <row r="258" spans="1:15" hidden="1">
      <c r="A258" s="269">
        <v>45701</v>
      </c>
      <c r="B258" s="270" t="s">
        <v>560</v>
      </c>
      <c r="C258" s="276" t="s">
        <v>2344</v>
      </c>
      <c r="D258" s="270" t="s">
        <v>120</v>
      </c>
      <c r="E258" s="272">
        <v>154000</v>
      </c>
      <c r="F258" s="272">
        <v>250.88714672564575</v>
      </c>
      <c r="G258" s="273">
        <v>613.82180000000005</v>
      </c>
      <c r="H258" s="274" t="s">
        <v>217</v>
      </c>
      <c r="I258" s="274" t="s">
        <v>561</v>
      </c>
      <c r="J258" s="274" t="s">
        <v>98</v>
      </c>
      <c r="K258" s="274" t="s">
        <v>499</v>
      </c>
      <c r="L258" s="274" t="s">
        <v>2341</v>
      </c>
      <c r="M258" s="270"/>
      <c r="N258" s="270"/>
      <c r="O258" s="270"/>
    </row>
    <row r="259" spans="1:15" hidden="1">
      <c r="A259" s="269">
        <v>45701</v>
      </c>
      <c r="B259" s="270" t="s">
        <v>543</v>
      </c>
      <c r="C259" s="276" t="s">
        <v>317</v>
      </c>
      <c r="D259" s="270" t="s">
        <v>118</v>
      </c>
      <c r="E259" s="272">
        <v>227686</v>
      </c>
      <c r="F259" s="272">
        <v>381.89982103110907</v>
      </c>
      <c r="G259" s="273">
        <v>596.19299999999998</v>
      </c>
      <c r="H259" s="274" t="s">
        <v>148</v>
      </c>
      <c r="I259" s="274" t="s">
        <v>544</v>
      </c>
      <c r="J259" s="274" t="s">
        <v>98</v>
      </c>
      <c r="K259" s="274" t="s">
        <v>2149</v>
      </c>
      <c r="L259" s="274" t="s">
        <v>2341</v>
      </c>
      <c r="M259" s="270"/>
      <c r="N259" s="270"/>
      <c r="O259" s="270"/>
    </row>
    <row r="260" spans="1:15" hidden="1">
      <c r="A260" s="269">
        <v>45701</v>
      </c>
      <c r="B260" s="270" t="s">
        <v>810</v>
      </c>
      <c r="C260" s="276" t="s">
        <v>175</v>
      </c>
      <c r="D260" s="271" t="s">
        <v>117</v>
      </c>
      <c r="E260" s="272">
        <v>4000</v>
      </c>
      <c r="F260" s="272">
        <v>6.7092367739976817</v>
      </c>
      <c r="G260" s="273">
        <v>579.25099999999998</v>
      </c>
      <c r="H260" s="274" t="s">
        <v>196</v>
      </c>
      <c r="I260" s="274" t="s">
        <v>811</v>
      </c>
      <c r="J260" s="274" t="s">
        <v>98</v>
      </c>
      <c r="K260" s="278" t="s">
        <v>205</v>
      </c>
      <c r="L260" s="274" t="s">
        <v>2341</v>
      </c>
      <c r="M260" s="270"/>
      <c r="N260" s="270"/>
      <c r="O260" s="270"/>
    </row>
    <row r="261" spans="1:15" hidden="1">
      <c r="A261" s="269">
        <v>45702</v>
      </c>
      <c r="B261" s="270" t="s">
        <v>883</v>
      </c>
      <c r="C261" s="276" t="s">
        <v>403</v>
      </c>
      <c r="D261" s="271" t="s">
        <v>502</v>
      </c>
      <c r="E261" s="272">
        <v>30000</v>
      </c>
      <c r="F261" s="272">
        <v>50.319275804982617</v>
      </c>
      <c r="G261" s="273">
        <v>596.19299999999998</v>
      </c>
      <c r="H261" s="274" t="s">
        <v>153</v>
      </c>
      <c r="I261" s="274" t="s">
        <v>694</v>
      </c>
      <c r="J261" s="274" t="s">
        <v>98</v>
      </c>
      <c r="K261" s="274" t="s">
        <v>2149</v>
      </c>
      <c r="L261" s="274" t="s">
        <v>2341</v>
      </c>
      <c r="M261" s="270"/>
      <c r="N261" s="270"/>
      <c r="O261" s="270"/>
    </row>
    <row r="262" spans="1:15" hidden="1">
      <c r="A262" s="269">
        <v>45702</v>
      </c>
      <c r="B262" s="270" t="s">
        <v>695</v>
      </c>
      <c r="C262" s="277" t="s">
        <v>2342</v>
      </c>
      <c r="D262" s="270" t="s">
        <v>118</v>
      </c>
      <c r="E262" s="272">
        <v>1952</v>
      </c>
      <c r="F262" s="272">
        <v>3.2741075457108688</v>
      </c>
      <c r="G262" s="273">
        <v>596.19299999999998</v>
      </c>
      <c r="H262" s="274" t="s">
        <v>153</v>
      </c>
      <c r="I262" s="274" t="s">
        <v>696</v>
      </c>
      <c r="J262" s="274" t="s">
        <v>98</v>
      </c>
      <c r="K262" s="274" t="s">
        <v>2149</v>
      </c>
      <c r="L262" s="274" t="s">
        <v>2341</v>
      </c>
      <c r="M262" s="270"/>
      <c r="N262" s="270"/>
      <c r="O262" s="270"/>
    </row>
    <row r="263" spans="1:15" hidden="1">
      <c r="A263" s="269">
        <v>45702</v>
      </c>
      <c r="B263" s="270" t="s">
        <v>877</v>
      </c>
      <c r="C263" s="276" t="s">
        <v>175</v>
      </c>
      <c r="D263" s="271" t="s">
        <v>119</v>
      </c>
      <c r="E263" s="272">
        <v>7000</v>
      </c>
      <c r="F263" s="272">
        <v>11.403961214802081</v>
      </c>
      <c r="G263" s="273">
        <v>613.82180000000005</v>
      </c>
      <c r="H263" s="274" t="s">
        <v>153</v>
      </c>
      <c r="I263" s="274" t="s">
        <v>697</v>
      </c>
      <c r="J263" s="274" t="s">
        <v>98</v>
      </c>
      <c r="K263" s="274" t="s">
        <v>499</v>
      </c>
      <c r="L263" s="274" t="s">
        <v>2341</v>
      </c>
      <c r="M263" s="270"/>
      <c r="N263" s="270"/>
      <c r="O263" s="270"/>
    </row>
    <row r="264" spans="1:15" hidden="1">
      <c r="A264" s="269">
        <v>45702</v>
      </c>
      <c r="B264" s="270" t="s">
        <v>202</v>
      </c>
      <c r="C264" s="276" t="s">
        <v>175</v>
      </c>
      <c r="D264" s="271" t="s">
        <v>117</v>
      </c>
      <c r="E264" s="272">
        <v>7000</v>
      </c>
      <c r="F264" s="272">
        <v>11.403961214802081</v>
      </c>
      <c r="G264" s="273">
        <v>613.82180000000005</v>
      </c>
      <c r="H264" s="274" t="s">
        <v>203</v>
      </c>
      <c r="I264" s="274" t="s">
        <v>593</v>
      </c>
      <c r="J264" s="274" t="s">
        <v>98</v>
      </c>
      <c r="K264" s="274" t="s">
        <v>499</v>
      </c>
      <c r="L264" s="274" t="s">
        <v>2341</v>
      </c>
      <c r="M264" s="270"/>
      <c r="N264" s="270"/>
      <c r="O264" s="270"/>
    </row>
    <row r="265" spans="1:15" hidden="1">
      <c r="A265" s="269">
        <v>45702</v>
      </c>
      <c r="B265" s="270" t="s">
        <v>647</v>
      </c>
      <c r="C265" s="270" t="s">
        <v>152</v>
      </c>
      <c r="D265" s="271" t="s">
        <v>119</v>
      </c>
      <c r="E265" s="272">
        <v>30000</v>
      </c>
      <c r="F265" s="272">
        <v>48.874119492008916</v>
      </c>
      <c r="G265" s="273">
        <v>613.82180000000005</v>
      </c>
      <c r="H265" s="274" t="s">
        <v>157</v>
      </c>
      <c r="I265" s="274" t="s">
        <v>648</v>
      </c>
      <c r="J265" s="274" t="s">
        <v>98</v>
      </c>
      <c r="K265" s="274" t="s">
        <v>499</v>
      </c>
      <c r="L265" s="274" t="s">
        <v>2341</v>
      </c>
      <c r="M265" s="270"/>
      <c r="N265" s="270"/>
      <c r="O265" s="270"/>
    </row>
    <row r="266" spans="1:15" hidden="1">
      <c r="A266" s="269">
        <v>45702</v>
      </c>
      <c r="B266" s="270" t="s">
        <v>649</v>
      </c>
      <c r="C266" s="270" t="s">
        <v>152</v>
      </c>
      <c r="D266" s="271" t="s">
        <v>117</v>
      </c>
      <c r="E266" s="272">
        <v>30000</v>
      </c>
      <c r="F266" s="272">
        <v>48.874119492008916</v>
      </c>
      <c r="G266" s="273">
        <v>613.82180000000005</v>
      </c>
      <c r="H266" s="274" t="s">
        <v>157</v>
      </c>
      <c r="I266" s="274" t="s">
        <v>650</v>
      </c>
      <c r="J266" s="274" t="s">
        <v>98</v>
      </c>
      <c r="K266" s="274" t="s">
        <v>499</v>
      </c>
      <c r="L266" s="274" t="s">
        <v>2341</v>
      </c>
      <c r="M266" s="270"/>
      <c r="N266" s="270"/>
      <c r="O266" s="270"/>
    </row>
    <row r="267" spans="1:15" hidden="1">
      <c r="A267" s="269">
        <v>45702</v>
      </c>
      <c r="B267" s="270" t="s">
        <v>651</v>
      </c>
      <c r="C267" s="270" t="s">
        <v>152</v>
      </c>
      <c r="D267" s="271" t="s">
        <v>502</v>
      </c>
      <c r="E267" s="272">
        <v>55000</v>
      </c>
      <c r="F267" s="272">
        <v>94.950186542589222</v>
      </c>
      <c r="G267" s="273">
        <v>579.25099999999998</v>
      </c>
      <c r="H267" s="274" t="s">
        <v>157</v>
      </c>
      <c r="I267" s="274" t="s">
        <v>652</v>
      </c>
      <c r="J267" s="274" t="s">
        <v>98</v>
      </c>
      <c r="K267" s="278" t="s">
        <v>205</v>
      </c>
      <c r="L267" s="274" t="s">
        <v>2341</v>
      </c>
      <c r="M267" s="270"/>
      <c r="N267" s="270"/>
      <c r="O267" s="270"/>
    </row>
    <row r="268" spans="1:15" hidden="1">
      <c r="A268" s="269">
        <v>45702</v>
      </c>
      <c r="B268" s="270" t="s">
        <v>653</v>
      </c>
      <c r="C268" s="270" t="s">
        <v>152</v>
      </c>
      <c r="D268" s="270" t="s">
        <v>120</v>
      </c>
      <c r="E268" s="272">
        <v>10000</v>
      </c>
      <c r="F268" s="272">
        <v>16.291373164002973</v>
      </c>
      <c r="G268" s="273">
        <v>613.82180000000005</v>
      </c>
      <c r="H268" s="274" t="s">
        <v>157</v>
      </c>
      <c r="I268" s="274" t="s">
        <v>654</v>
      </c>
      <c r="J268" s="274" t="s">
        <v>98</v>
      </c>
      <c r="K268" s="274" t="s">
        <v>499</v>
      </c>
      <c r="L268" s="274" t="s">
        <v>2341</v>
      </c>
      <c r="M268" s="270"/>
      <c r="N268" s="270"/>
      <c r="O268" s="270"/>
    </row>
    <row r="269" spans="1:15" hidden="1">
      <c r="A269" s="269">
        <v>45702</v>
      </c>
      <c r="B269" s="270" t="s">
        <v>656</v>
      </c>
      <c r="C269" s="270" t="s">
        <v>152</v>
      </c>
      <c r="D269" s="271" t="s">
        <v>117</v>
      </c>
      <c r="E269" s="272">
        <v>10000</v>
      </c>
      <c r="F269" s="272">
        <v>16.291373164002973</v>
      </c>
      <c r="G269" s="273">
        <v>613.82180000000005</v>
      </c>
      <c r="H269" s="274" t="s">
        <v>157</v>
      </c>
      <c r="I269" s="274" t="s">
        <v>655</v>
      </c>
      <c r="J269" s="274" t="s">
        <v>98</v>
      </c>
      <c r="K269" s="274" t="s">
        <v>499</v>
      </c>
      <c r="L269" s="274" t="s">
        <v>2341</v>
      </c>
      <c r="M269" s="270"/>
      <c r="N269" s="270"/>
      <c r="O269" s="270"/>
    </row>
    <row r="270" spans="1:15" hidden="1">
      <c r="A270" s="269">
        <v>45702</v>
      </c>
      <c r="B270" s="270" t="s">
        <v>880</v>
      </c>
      <c r="C270" s="270" t="s">
        <v>152</v>
      </c>
      <c r="D270" s="271" t="s">
        <v>502</v>
      </c>
      <c r="E270" s="272">
        <v>5000</v>
      </c>
      <c r="F270" s="272">
        <v>8.1456865820014865</v>
      </c>
      <c r="G270" s="273">
        <v>613.82180000000005</v>
      </c>
      <c r="H270" s="274" t="s">
        <v>157</v>
      </c>
      <c r="I270" s="274" t="s">
        <v>657</v>
      </c>
      <c r="J270" s="274" t="s">
        <v>98</v>
      </c>
      <c r="K270" s="274" t="s">
        <v>499</v>
      </c>
      <c r="L270" s="274" t="s">
        <v>2341</v>
      </c>
      <c r="M270" s="270"/>
      <c r="N270" s="270"/>
      <c r="O270" s="270"/>
    </row>
    <row r="271" spans="1:15" hidden="1">
      <c r="A271" s="269">
        <v>45702</v>
      </c>
      <c r="B271" s="270" t="s">
        <v>645</v>
      </c>
      <c r="C271" s="277" t="s">
        <v>2342</v>
      </c>
      <c r="D271" s="270" t="s">
        <v>118</v>
      </c>
      <c r="E271" s="272">
        <v>11310</v>
      </c>
      <c r="F271" s="272">
        <v>18.425543048487359</v>
      </c>
      <c r="G271" s="273">
        <v>613.82180000000005</v>
      </c>
      <c r="H271" s="274" t="s">
        <v>643</v>
      </c>
      <c r="I271" s="274" t="s">
        <v>646</v>
      </c>
      <c r="J271" s="274" t="s">
        <v>98</v>
      </c>
      <c r="K271" s="274" t="s">
        <v>499</v>
      </c>
      <c r="L271" s="274" t="s">
        <v>2341</v>
      </c>
      <c r="M271" s="270"/>
      <c r="N271" s="270"/>
      <c r="O271" s="270"/>
    </row>
    <row r="272" spans="1:15" hidden="1">
      <c r="A272" s="269">
        <v>45702</v>
      </c>
      <c r="B272" s="270" t="s">
        <v>778</v>
      </c>
      <c r="C272" s="276" t="s">
        <v>403</v>
      </c>
      <c r="D272" s="271" t="s">
        <v>502</v>
      </c>
      <c r="E272" s="272">
        <v>4000</v>
      </c>
      <c r="F272" s="272">
        <v>6.5165492656011885</v>
      </c>
      <c r="G272" s="273">
        <v>613.82180000000005</v>
      </c>
      <c r="H272" s="274" t="s">
        <v>343</v>
      </c>
      <c r="I272" s="274" t="s">
        <v>779</v>
      </c>
      <c r="J272" s="274" t="s">
        <v>98</v>
      </c>
      <c r="K272" s="274" t="s">
        <v>499</v>
      </c>
      <c r="L272" s="274" t="s">
        <v>2341</v>
      </c>
      <c r="M272" s="270"/>
      <c r="N272" s="270"/>
      <c r="O272" s="270"/>
    </row>
    <row r="273" spans="1:15" hidden="1">
      <c r="A273" s="269">
        <v>45702</v>
      </c>
      <c r="B273" s="270" t="s">
        <v>780</v>
      </c>
      <c r="C273" s="276" t="s">
        <v>175</v>
      </c>
      <c r="D273" s="271" t="s">
        <v>502</v>
      </c>
      <c r="E273" s="272">
        <v>7000</v>
      </c>
      <c r="F273" s="272">
        <v>11.403961214802081</v>
      </c>
      <c r="G273" s="273">
        <v>613.82180000000005</v>
      </c>
      <c r="H273" s="274" t="s">
        <v>343</v>
      </c>
      <c r="I273" s="274" t="s">
        <v>781</v>
      </c>
      <c r="J273" s="274" t="s">
        <v>98</v>
      </c>
      <c r="K273" s="274" t="s">
        <v>499</v>
      </c>
      <c r="L273" s="274" t="s">
        <v>2341</v>
      </c>
      <c r="M273" s="270"/>
      <c r="N273" s="270"/>
      <c r="O273" s="270"/>
    </row>
    <row r="274" spans="1:15" hidden="1">
      <c r="A274" s="269">
        <v>45702</v>
      </c>
      <c r="B274" s="270" t="s">
        <v>794</v>
      </c>
      <c r="C274" s="276" t="s">
        <v>175</v>
      </c>
      <c r="D274" s="271" t="s">
        <v>117</v>
      </c>
      <c r="E274" s="272">
        <v>7000</v>
      </c>
      <c r="F274" s="272">
        <v>11.403961214802081</v>
      </c>
      <c r="G274" s="273">
        <v>613.82180000000005</v>
      </c>
      <c r="H274" s="274" t="s">
        <v>190</v>
      </c>
      <c r="I274" s="274" t="s">
        <v>795</v>
      </c>
      <c r="J274" s="274" t="s">
        <v>98</v>
      </c>
      <c r="K274" s="274" t="s">
        <v>499</v>
      </c>
      <c r="L274" s="274" t="s">
        <v>2341</v>
      </c>
      <c r="M274" s="270"/>
      <c r="N274" s="270"/>
      <c r="O274" s="270"/>
    </row>
    <row r="275" spans="1:15" hidden="1">
      <c r="A275" s="269">
        <v>45702</v>
      </c>
      <c r="B275" s="270" t="s">
        <v>546</v>
      </c>
      <c r="C275" s="276" t="s">
        <v>175</v>
      </c>
      <c r="D275" s="270" t="s">
        <v>120</v>
      </c>
      <c r="E275" s="272">
        <v>7000</v>
      </c>
      <c r="F275" s="272">
        <v>11.403961214802081</v>
      </c>
      <c r="G275" s="273">
        <v>613.82180000000005</v>
      </c>
      <c r="H275" s="274" t="s">
        <v>217</v>
      </c>
      <c r="I275" s="274" t="s">
        <v>547</v>
      </c>
      <c r="J275" s="274" t="s">
        <v>98</v>
      </c>
      <c r="K275" s="274" t="s">
        <v>499</v>
      </c>
      <c r="L275" s="274" t="s">
        <v>2341</v>
      </c>
      <c r="M275" s="270"/>
      <c r="N275" s="270"/>
      <c r="O275" s="270"/>
    </row>
    <row r="276" spans="1:15" hidden="1">
      <c r="A276" s="269">
        <v>45702</v>
      </c>
      <c r="B276" s="270" t="s">
        <v>812</v>
      </c>
      <c r="C276" s="270" t="s">
        <v>327</v>
      </c>
      <c r="D276" s="271" t="s">
        <v>2343</v>
      </c>
      <c r="E276" s="272">
        <v>20000</v>
      </c>
      <c r="F276" s="272">
        <v>32.582746328005946</v>
      </c>
      <c r="G276" s="273">
        <v>613.82180000000005</v>
      </c>
      <c r="H276" s="274" t="s">
        <v>196</v>
      </c>
      <c r="I276" s="274" t="s">
        <v>813</v>
      </c>
      <c r="J276" s="274" t="s">
        <v>98</v>
      </c>
      <c r="K276" s="274" t="s">
        <v>499</v>
      </c>
      <c r="L276" s="274" t="s">
        <v>2341</v>
      </c>
      <c r="M276" s="270"/>
      <c r="N276" s="270"/>
      <c r="O276" s="270"/>
    </row>
    <row r="277" spans="1:15" hidden="1">
      <c r="A277" s="269">
        <v>45702</v>
      </c>
      <c r="B277" s="270" t="s">
        <v>849</v>
      </c>
      <c r="C277" s="276" t="s">
        <v>175</v>
      </c>
      <c r="D277" s="271" t="s">
        <v>502</v>
      </c>
      <c r="E277" s="272">
        <v>7000</v>
      </c>
      <c r="F277" s="272">
        <v>11.403961214802081</v>
      </c>
      <c r="G277" s="273">
        <v>613.82180000000005</v>
      </c>
      <c r="H277" s="274" t="s">
        <v>332</v>
      </c>
      <c r="I277" s="274" t="s">
        <v>850</v>
      </c>
      <c r="J277" s="274" t="s">
        <v>98</v>
      </c>
      <c r="K277" s="274" t="s">
        <v>499</v>
      </c>
      <c r="L277" s="274" t="s">
        <v>2341</v>
      </c>
      <c r="M277" s="270"/>
      <c r="N277" s="270"/>
      <c r="O277" s="270"/>
    </row>
    <row r="278" spans="1:15" hidden="1">
      <c r="A278" s="269">
        <v>45703</v>
      </c>
      <c r="B278" s="270" t="s">
        <v>698</v>
      </c>
      <c r="C278" s="276" t="s">
        <v>179</v>
      </c>
      <c r="D278" s="271" t="s">
        <v>119</v>
      </c>
      <c r="E278" s="272">
        <v>100000</v>
      </c>
      <c r="F278" s="272">
        <v>162.91373164002971</v>
      </c>
      <c r="G278" s="273">
        <v>613.82180000000005</v>
      </c>
      <c r="H278" s="274" t="s">
        <v>153</v>
      </c>
      <c r="I278" s="274" t="s">
        <v>699</v>
      </c>
      <c r="J278" s="274" t="s">
        <v>98</v>
      </c>
      <c r="K278" s="274" t="s">
        <v>499</v>
      </c>
      <c r="L278" s="274" t="s">
        <v>2341</v>
      </c>
      <c r="M278" s="270"/>
      <c r="N278" s="270"/>
      <c r="O278" s="270"/>
    </row>
    <row r="279" spans="1:15" hidden="1">
      <c r="A279" s="269">
        <v>45703</v>
      </c>
      <c r="B279" s="270" t="s">
        <v>580</v>
      </c>
      <c r="C279" s="276" t="s">
        <v>179</v>
      </c>
      <c r="D279" s="271" t="s">
        <v>117</v>
      </c>
      <c r="E279" s="272">
        <v>180000</v>
      </c>
      <c r="F279" s="272">
        <v>293.24471695205347</v>
      </c>
      <c r="G279" s="273">
        <v>613.82180000000005</v>
      </c>
      <c r="H279" s="274" t="s">
        <v>203</v>
      </c>
      <c r="I279" s="274" t="s">
        <v>581</v>
      </c>
      <c r="J279" s="274" t="s">
        <v>98</v>
      </c>
      <c r="K279" s="274" t="s">
        <v>499</v>
      </c>
      <c r="L279" s="274" t="s">
        <v>2341</v>
      </c>
      <c r="M279" s="270"/>
      <c r="N279" s="270"/>
      <c r="O279" s="270"/>
    </row>
    <row r="280" spans="1:15" hidden="1">
      <c r="A280" s="269">
        <v>45703</v>
      </c>
      <c r="B280" s="270" t="s">
        <v>847</v>
      </c>
      <c r="C280" s="276" t="s">
        <v>179</v>
      </c>
      <c r="D280" s="271" t="s">
        <v>502</v>
      </c>
      <c r="E280" s="272">
        <v>70000</v>
      </c>
      <c r="F280" s="272">
        <v>114.03961214802079</v>
      </c>
      <c r="G280" s="273">
        <v>613.82180000000005</v>
      </c>
      <c r="H280" s="274" t="s">
        <v>332</v>
      </c>
      <c r="I280" s="274" t="s">
        <v>848</v>
      </c>
      <c r="J280" s="274" t="s">
        <v>98</v>
      </c>
      <c r="K280" s="274" t="s">
        <v>499</v>
      </c>
      <c r="L280" s="274" t="s">
        <v>2341</v>
      </c>
      <c r="M280" s="270"/>
      <c r="N280" s="270"/>
      <c r="O280" s="270"/>
    </row>
    <row r="281" spans="1:15" hidden="1">
      <c r="A281" s="269">
        <v>45703</v>
      </c>
      <c r="B281" s="270" t="s">
        <v>782</v>
      </c>
      <c r="C281" s="276" t="s">
        <v>179</v>
      </c>
      <c r="D281" s="271" t="s">
        <v>502</v>
      </c>
      <c r="E281" s="272">
        <v>30000</v>
      </c>
      <c r="F281" s="272">
        <v>48.874119492008916</v>
      </c>
      <c r="G281" s="273">
        <v>613.82180000000005</v>
      </c>
      <c r="H281" s="274" t="s">
        <v>343</v>
      </c>
      <c r="I281" s="274" t="s">
        <v>783</v>
      </c>
      <c r="J281" s="274" t="s">
        <v>98</v>
      </c>
      <c r="K281" s="274" t="s">
        <v>499</v>
      </c>
      <c r="L281" s="274" t="s">
        <v>2341</v>
      </c>
      <c r="M281" s="270"/>
      <c r="N281" s="270"/>
      <c r="O281" s="270"/>
    </row>
    <row r="282" spans="1:15" hidden="1">
      <c r="A282" s="269">
        <v>45703</v>
      </c>
      <c r="B282" s="270" t="s">
        <v>2346</v>
      </c>
      <c r="C282" s="276" t="s">
        <v>179</v>
      </c>
      <c r="D282" s="271" t="s">
        <v>117</v>
      </c>
      <c r="E282" s="272">
        <v>170000</v>
      </c>
      <c r="F282" s="272">
        <v>276.95334378805052</v>
      </c>
      <c r="G282" s="273">
        <v>613.82180000000005</v>
      </c>
      <c r="H282" s="274" t="s">
        <v>190</v>
      </c>
      <c r="I282" s="274" t="s">
        <v>796</v>
      </c>
      <c r="J282" s="274" t="s">
        <v>98</v>
      </c>
      <c r="K282" s="274" t="s">
        <v>499</v>
      </c>
      <c r="L282" s="274" t="s">
        <v>2341</v>
      </c>
      <c r="M282" s="270"/>
      <c r="N282" s="270"/>
      <c r="O282" s="270"/>
    </row>
    <row r="283" spans="1:15" hidden="1">
      <c r="A283" s="269">
        <v>45703</v>
      </c>
      <c r="B283" s="270" t="s">
        <v>570</v>
      </c>
      <c r="C283" s="276" t="s">
        <v>179</v>
      </c>
      <c r="D283" s="271" t="s">
        <v>117</v>
      </c>
      <c r="E283" s="272">
        <v>45000</v>
      </c>
      <c r="F283" s="272">
        <v>73.311179238013366</v>
      </c>
      <c r="G283" s="273">
        <v>613.82180000000005</v>
      </c>
      <c r="H283" s="274" t="s">
        <v>193</v>
      </c>
      <c r="I283" s="274" t="s">
        <v>571</v>
      </c>
      <c r="J283" s="274" t="s">
        <v>98</v>
      </c>
      <c r="K283" s="274" t="s">
        <v>499</v>
      </c>
      <c r="L283" s="274" t="s">
        <v>2341</v>
      </c>
      <c r="M283" s="270"/>
      <c r="N283" s="270"/>
      <c r="O283" s="270"/>
    </row>
    <row r="284" spans="1:15" hidden="1">
      <c r="A284" s="269">
        <v>45703</v>
      </c>
      <c r="B284" s="270" t="s">
        <v>814</v>
      </c>
      <c r="C284" s="276" t="s">
        <v>179</v>
      </c>
      <c r="D284" s="271" t="s">
        <v>117</v>
      </c>
      <c r="E284" s="272">
        <v>30000</v>
      </c>
      <c r="F284" s="272">
        <v>48.874119492008916</v>
      </c>
      <c r="G284" s="273">
        <v>613.82180000000005</v>
      </c>
      <c r="H284" s="274" t="s">
        <v>196</v>
      </c>
      <c r="I284" s="274" t="s">
        <v>815</v>
      </c>
      <c r="J284" s="274" t="s">
        <v>98</v>
      </c>
      <c r="K284" s="274" t="s">
        <v>499</v>
      </c>
      <c r="L284" s="274" t="s">
        <v>2341</v>
      </c>
      <c r="M284" s="270"/>
      <c r="N284" s="270"/>
      <c r="O284" s="270"/>
    </row>
    <row r="285" spans="1:15" hidden="1">
      <c r="A285" s="269">
        <v>45703</v>
      </c>
      <c r="B285" s="270" t="s">
        <v>816</v>
      </c>
      <c r="C285" s="276" t="s">
        <v>175</v>
      </c>
      <c r="D285" s="271" t="s">
        <v>117</v>
      </c>
      <c r="E285" s="272">
        <v>4000</v>
      </c>
      <c r="F285" s="272">
        <v>6.5165492656011885</v>
      </c>
      <c r="G285" s="273">
        <v>613.82180000000005</v>
      </c>
      <c r="H285" s="274" t="s">
        <v>196</v>
      </c>
      <c r="I285" s="274" t="s">
        <v>817</v>
      </c>
      <c r="J285" s="274" t="s">
        <v>98</v>
      </c>
      <c r="K285" s="274" t="s">
        <v>499</v>
      </c>
      <c r="L285" s="274" t="s">
        <v>2341</v>
      </c>
      <c r="M285" s="270"/>
      <c r="N285" s="270"/>
      <c r="O285" s="270"/>
    </row>
    <row r="286" spans="1:15" hidden="1">
      <c r="A286" s="269">
        <v>45703</v>
      </c>
      <c r="B286" s="270" t="s">
        <v>548</v>
      </c>
      <c r="C286" s="276" t="s">
        <v>179</v>
      </c>
      <c r="D286" s="270" t="s">
        <v>120</v>
      </c>
      <c r="E286" s="272">
        <v>130000</v>
      </c>
      <c r="F286" s="272">
        <v>211.78785113203864</v>
      </c>
      <c r="G286" s="273">
        <v>613.82180000000005</v>
      </c>
      <c r="H286" s="274" t="s">
        <v>217</v>
      </c>
      <c r="I286" s="274" t="s">
        <v>549</v>
      </c>
      <c r="J286" s="274" t="s">
        <v>98</v>
      </c>
      <c r="K286" s="274" t="s">
        <v>499</v>
      </c>
      <c r="L286" s="274" t="s">
        <v>2341</v>
      </c>
      <c r="M286" s="270"/>
      <c r="N286" s="270"/>
      <c r="O286" s="270"/>
    </row>
    <row r="287" spans="1:15" hidden="1">
      <c r="A287" s="269">
        <v>45703</v>
      </c>
      <c r="B287" s="270" t="s">
        <v>818</v>
      </c>
      <c r="C287" s="276" t="s">
        <v>175</v>
      </c>
      <c r="D287" s="271" t="s">
        <v>117</v>
      </c>
      <c r="E287" s="272">
        <v>7000</v>
      </c>
      <c r="F287" s="272">
        <v>11.403961214802081</v>
      </c>
      <c r="G287" s="273">
        <v>613.82180000000005</v>
      </c>
      <c r="H287" s="274" t="s">
        <v>196</v>
      </c>
      <c r="I287" s="274" t="s">
        <v>819</v>
      </c>
      <c r="J287" s="274" t="s">
        <v>98</v>
      </c>
      <c r="K287" s="274" t="s">
        <v>499</v>
      </c>
      <c r="L287" s="274" t="s">
        <v>2341</v>
      </c>
      <c r="M287" s="270"/>
      <c r="N287" s="270"/>
      <c r="O287" s="270"/>
    </row>
    <row r="288" spans="1:15" hidden="1">
      <c r="A288" s="269">
        <v>45705</v>
      </c>
      <c r="B288" s="270" t="s">
        <v>658</v>
      </c>
      <c r="C288" s="270" t="s">
        <v>152</v>
      </c>
      <c r="D288" s="271" t="s">
        <v>502</v>
      </c>
      <c r="E288" s="272">
        <v>15000</v>
      </c>
      <c r="F288" s="272">
        <v>24.437059746004458</v>
      </c>
      <c r="G288" s="273">
        <v>613.82180000000005</v>
      </c>
      <c r="H288" s="274" t="s">
        <v>157</v>
      </c>
      <c r="I288" s="274" t="s">
        <v>659</v>
      </c>
      <c r="J288" s="274" t="s">
        <v>98</v>
      </c>
      <c r="K288" s="274" t="s">
        <v>499</v>
      </c>
      <c r="L288" s="274" t="s">
        <v>2341</v>
      </c>
      <c r="M288" s="270"/>
      <c r="N288" s="270"/>
      <c r="O288" s="270"/>
    </row>
    <row r="289" spans="1:15" hidden="1">
      <c r="A289" s="269">
        <v>45706</v>
      </c>
      <c r="B289" s="270" t="s">
        <v>660</v>
      </c>
      <c r="C289" s="277" t="s">
        <v>2342</v>
      </c>
      <c r="D289" s="270" t="s">
        <v>118</v>
      </c>
      <c r="E289" s="272">
        <v>9000</v>
      </c>
      <c r="F289" s="272">
        <v>14.662235847602675</v>
      </c>
      <c r="G289" s="273">
        <v>613.82180000000005</v>
      </c>
      <c r="H289" s="274" t="s">
        <v>643</v>
      </c>
      <c r="I289" s="274" t="s">
        <v>661</v>
      </c>
      <c r="J289" s="274" t="s">
        <v>98</v>
      </c>
      <c r="K289" s="274" t="s">
        <v>499</v>
      </c>
      <c r="L289" s="274" t="s">
        <v>2341</v>
      </c>
      <c r="M289" s="270"/>
      <c r="N289" s="270"/>
      <c r="O289" s="270"/>
    </row>
    <row r="290" spans="1:15" hidden="1">
      <c r="A290" s="269">
        <v>45706</v>
      </c>
      <c r="B290" s="270" t="s">
        <v>851</v>
      </c>
      <c r="C290" s="276" t="s">
        <v>179</v>
      </c>
      <c r="D290" s="271" t="s">
        <v>502</v>
      </c>
      <c r="E290" s="272">
        <v>45000</v>
      </c>
      <c r="F290" s="272">
        <v>73.311179238013366</v>
      </c>
      <c r="G290" s="273">
        <v>613.82180000000005</v>
      </c>
      <c r="H290" s="274" t="s">
        <v>332</v>
      </c>
      <c r="I290" s="274" t="s">
        <v>852</v>
      </c>
      <c r="J290" s="274" t="s">
        <v>98</v>
      </c>
      <c r="K290" s="274" t="s">
        <v>499</v>
      </c>
      <c r="L290" s="274" t="s">
        <v>2341</v>
      </c>
      <c r="M290" s="270"/>
      <c r="N290" s="270"/>
      <c r="O290" s="270"/>
    </row>
    <row r="291" spans="1:15" hidden="1">
      <c r="A291" s="269">
        <v>45706</v>
      </c>
      <c r="B291" s="270" t="s">
        <v>853</v>
      </c>
      <c r="C291" s="276" t="s">
        <v>175</v>
      </c>
      <c r="D291" s="271" t="s">
        <v>502</v>
      </c>
      <c r="E291" s="272">
        <v>4000</v>
      </c>
      <c r="F291" s="272">
        <v>6.5165492656011885</v>
      </c>
      <c r="G291" s="273">
        <v>613.82180000000005</v>
      </c>
      <c r="H291" s="274" t="s">
        <v>332</v>
      </c>
      <c r="I291" s="274" t="s">
        <v>854</v>
      </c>
      <c r="J291" s="274" t="s">
        <v>98</v>
      </c>
      <c r="K291" s="274" t="s">
        <v>499</v>
      </c>
      <c r="L291" s="274" t="s">
        <v>2341</v>
      </c>
      <c r="M291" s="270"/>
      <c r="N291" s="270"/>
      <c r="O291" s="270"/>
    </row>
    <row r="292" spans="1:15" hidden="1">
      <c r="A292" s="269">
        <v>45706</v>
      </c>
      <c r="B292" s="270" t="s">
        <v>662</v>
      </c>
      <c r="C292" s="270" t="s">
        <v>263</v>
      </c>
      <c r="D292" s="271" t="s">
        <v>117</v>
      </c>
      <c r="E292" s="272">
        <v>70000</v>
      </c>
      <c r="F292" s="272">
        <v>114.03961214802079</v>
      </c>
      <c r="G292" s="273">
        <v>613.82180000000005</v>
      </c>
      <c r="H292" s="274" t="s">
        <v>196</v>
      </c>
      <c r="I292" s="274" t="s">
        <v>663</v>
      </c>
      <c r="J292" s="274" t="s">
        <v>98</v>
      </c>
      <c r="K292" s="274" t="s">
        <v>499</v>
      </c>
      <c r="L292" s="274" t="s">
        <v>2341</v>
      </c>
      <c r="M292" s="270"/>
      <c r="N292" s="270"/>
      <c r="O292" s="270"/>
    </row>
    <row r="293" spans="1:15" hidden="1">
      <c r="A293" s="269">
        <v>45707</v>
      </c>
      <c r="B293" s="270" t="s">
        <v>884</v>
      </c>
      <c r="C293" s="276" t="s">
        <v>403</v>
      </c>
      <c r="D293" s="271" t="s">
        <v>502</v>
      </c>
      <c r="E293" s="272">
        <v>30000</v>
      </c>
      <c r="F293" s="272">
        <v>48.874119492008916</v>
      </c>
      <c r="G293" s="273">
        <v>613.82180000000005</v>
      </c>
      <c r="H293" s="274" t="s">
        <v>157</v>
      </c>
      <c r="I293" s="274" t="s">
        <v>664</v>
      </c>
      <c r="J293" s="274" t="s">
        <v>98</v>
      </c>
      <c r="K293" s="274" t="s">
        <v>499</v>
      </c>
      <c r="L293" s="274" t="s">
        <v>2341</v>
      </c>
      <c r="M293" s="270"/>
      <c r="N293" s="270"/>
      <c r="O293" s="270"/>
    </row>
    <row r="294" spans="1:15" hidden="1">
      <c r="A294" s="269">
        <v>45707</v>
      </c>
      <c r="B294" s="270" t="s">
        <v>665</v>
      </c>
      <c r="C294" s="277" t="s">
        <v>2342</v>
      </c>
      <c r="D294" s="270" t="s">
        <v>118</v>
      </c>
      <c r="E294" s="272">
        <v>1952</v>
      </c>
      <c r="F294" s="272">
        <v>3.3698684387478939</v>
      </c>
      <c r="G294" s="273">
        <v>579.25099999999998</v>
      </c>
      <c r="H294" s="274" t="s">
        <v>157</v>
      </c>
      <c r="I294" s="274" t="s">
        <v>666</v>
      </c>
      <c r="J294" s="274" t="s">
        <v>98</v>
      </c>
      <c r="K294" s="278" t="s">
        <v>205</v>
      </c>
      <c r="L294" s="274" t="s">
        <v>2341</v>
      </c>
      <c r="M294" s="270"/>
      <c r="N294" s="270"/>
      <c r="O294" s="270"/>
    </row>
    <row r="295" spans="1:15" hidden="1">
      <c r="A295" s="269">
        <v>45707</v>
      </c>
      <c r="B295" s="270" t="s">
        <v>667</v>
      </c>
      <c r="C295" s="277" t="s">
        <v>2342</v>
      </c>
      <c r="D295" s="270" t="s">
        <v>118</v>
      </c>
      <c r="E295" s="272">
        <v>14250</v>
      </c>
      <c r="F295" s="272">
        <v>23.215206758704234</v>
      </c>
      <c r="G295" s="273">
        <v>613.82180000000005</v>
      </c>
      <c r="H295" s="274" t="s">
        <v>643</v>
      </c>
      <c r="I295" s="274" t="s">
        <v>668</v>
      </c>
      <c r="J295" s="274" t="s">
        <v>98</v>
      </c>
      <c r="K295" s="274" t="s">
        <v>499</v>
      </c>
      <c r="L295" s="274" t="s">
        <v>2341</v>
      </c>
      <c r="M295" s="270"/>
      <c r="N295" s="270"/>
      <c r="O295" s="270"/>
    </row>
    <row r="296" spans="1:15" hidden="1">
      <c r="A296" s="269">
        <v>45708</v>
      </c>
      <c r="B296" s="270" t="s">
        <v>855</v>
      </c>
      <c r="C296" s="276" t="s">
        <v>179</v>
      </c>
      <c r="D296" s="271" t="s">
        <v>502</v>
      </c>
      <c r="E296" s="272">
        <v>30000</v>
      </c>
      <c r="F296" s="272">
        <v>48.874119492008916</v>
      </c>
      <c r="G296" s="273">
        <v>613.82180000000005</v>
      </c>
      <c r="H296" s="274" t="s">
        <v>332</v>
      </c>
      <c r="I296" s="274" t="s">
        <v>856</v>
      </c>
      <c r="J296" s="274" t="s">
        <v>98</v>
      </c>
      <c r="K296" s="274" t="s">
        <v>499</v>
      </c>
      <c r="L296" s="274" t="s">
        <v>2341</v>
      </c>
      <c r="M296" s="270"/>
      <c r="N296" s="270"/>
      <c r="O296" s="270"/>
    </row>
    <row r="297" spans="1:15" hidden="1">
      <c r="A297" s="269">
        <v>45708</v>
      </c>
      <c r="B297" s="270" t="s">
        <v>857</v>
      </c>
      <c r="C297" s="276" t="s">
        <v>175</v>
      </c>
      <c r="D297" s="271" t="s">
        <v>502</v>
      </c>
      <c r="E297" s="272">
        <v>4000</v>
      </c>
      <c r="F297" s="272">
        <v>6.5165492656011885</v>
      </c>
      <c r="G297" s="273">
        <v>613.82180000000005</v>
      </c>
      <c r="H297" s="274" t="s">
        <v>332</v>
      </c>
      <c r="I297" s="274" t="s">
        <v>858</v>
      </c>
      <c r="J297" s="274" t="s">
        <v>98</v>
      </c>
      <c r="K297" s="274" t="s">
        <v>499</v>
      </c>
      <c r="L297" s="274" t="s">
        <v>2341</v>
      </c>
      <c r="M297" s="270"/>
      <c r="N297" s="270"/>
      <c r="O297" s="270"/>
    </row>
    <row r="298" spans="1:15" hidden="1">
      <c r="A298" s="269">
        <v>45708</v>
      </c>
      <c r="B298" s="270" t="s">
        <v>572</v>
      </c>
      <c r="C298" s="276" t="s">
        <v>179</v>
      </c>
      <c r="D298" s="271" t="s">
        <v>117</v>
      </c>
      <c r="E298" s="272">
        <v>75000</v>
      </c>
      <c r="F298" s="272">
        <v>122.18529873002228</v>
      </c>
      <c r="G298" s="273">
        <v>613.82180000000005</v>
      </c>
      <c r="H298" s="274" t="s">
        <v>193</v>
      </c>
      <c r="I298" s="274" t="s">
        <v>573</v>
      </c>
      <c r="J298" s="274" t="s">
        <v>98</v>
      </c>
      <c r="K298" s="274" t="s">
        <v>499</v>
      </c>
      <c r="L298" s="274" t="s">
        <v>2341</v>
      </c>
      <c r="M298" s="270"/>
      <c r="N298" s="270"/>
      <c r="O298" s="270"/>
    </row>
    <row r="299" spans="1:15" hidden="1">
      <c r="A299" s="269">
        <v>45709</v>
      </c>
      <c r="B299" s="270" t="s">
        <v>645</v>
      </c>
      <c r="C299" s="277" t="s">
        <v>2342</v>
      </c>
      <c r="D299" s="270" t="s">
        <v>118</v>
      </c>
      <c r="E299" s="272">
        <v>14700</v>
      </c>
      <c r="F299" s="272">
        <v>23.94831855108437</v>
      </c>
      <c r="G299" s="273">
        <v>613.82180000000005</v>
      </c>
      <c r="H299" s="274" t="s">
        <v>196</v>
      </c>
      <c r="I299" s="274" t="s">
        <v>670</v>
      </c>
      <c r="J299" s="274" t="s">
        <v>98</v>
      </c>
      <c r="K299" s="274" t="s">
        <v>499</v>
      </c>
      <c r="L299" s="274" t="s">
        <v>2341</v>
      </c>
      <c r="M299" s="270"/>
      <c r="N299" s="270"/>
      <c r="O299" s="270"/>
    </row>
    <row r="300" spans="1:15" hidden="1">
      <c r="A300" s="269">
        <v>45710</v>
      </c>
      <c r="B300" s="270" t="s">
        <v>876</v>
      </c>
      <c r="C300" s="276" t="s">
        <v>179</v>
      </c>
      <c r="D300" s="271" t="s">
        <v>117</v>
      </c>
      <c r="E300" s="272">
        <v>105000</v>
      </c>
      <c r="F300" s="272">
        <v>171.05941822203121</v>
      </c>
      <c r="G300" s="273">
        <v>613.82180000000005</v>
      </c>
      <c r="H300" s="274" t="s">
        <v>203</v>
      </c>
      <c r="I300" s="274" t="s">
        <v>582</v>
      </c>
      <c r="J300" s="274" t="s">
        <v>98</v>
      </c>
      <c r="K300" s="274" t="s">
        <v>499</v>
      </c>
      <c r="L300" s="274" t="s">
        <v>2341</v>
      </c>
      <c r="M300" s="270"/>
      <c r="N300" s="270"/>
      <c r="O300" s="270"/>
    </row>
    <row r="301" spans="1:15" hidden="1">
      <c r="A301" s="269">
        <v>45710</v>
      </c>
      <c r="B301" s="270" t="s">
        <v>753</v>
      </c>
      <c r="C301" s="276" t="s">
        <v>179</v>
      </c>
      <c r="D301" s="271" t="s">
        <v>502</v>
      </c>
      <c r="E301" s="272">
        <v>180000</v>
      </c>
      <c r="F301" s="272">
        <v>293.24471695205347</v>
      </c>
      <c r="G301" s="273">
        <v>613.82180000000005</v>
      </c>
      <c r="H301" s="274" t="s">
        <v>176</v>
      </c>
      <c r="I301" s="274" t="s">
        <v>754</v>
      </c>
      <c r="J301" s="274" t="s">
        <v>98</v>
      </c>
      <c r="K301" s="274" t="s">
        <v>499</v>
      </c>
      <c r="L301" s="274" t="s">
        <v>2341</v>
      </c>
      <c r="M301" s="270"/>
      <c r="N301" s="270"/>
      <c r="O301" s="270"/>
    </row>
    <row r="302" spans="1:15" hidden="1">
      <c r="A302" s="269">
        <v>45710</v>
      </c>
      <c r="B302" s="270" t="s">
        <v>859</v>
      </c>
      <c r="C302" s="276" t="s">
        <v>179</v>
      </c>
      <c r="D302" s="271" t="s">
        <v>502</v>
      </c>
      <c r="E302" s="272">
        <v>30000</v>
      </c>
      <c r="F302" s="272">
        <v>48.874119492008916</v>
      </c>
      <c r="G302" s="273">
        <v>613.82180000000005</v>
      </c>
      <c r="H302" s="274" t="s">
        <v>332</v>
      </c>
      <c r="I302" s="274" t="s">
        <v>860</v>
      </c>
      <c r="J302" s="274" t="s">
        <v>98</v>
      </c>
      <c r="K302" s="274" t="s">
        <v>499</v>
      </c>
      <c r="L302" s="274" t="s">
        <v>2341</v>
      </c>
      <c r="M302" s="270"/>
      <c r="N302" s="270"/>
      <c r="O302" s="270"/>
    </row>
    <row r="303" spans="1:15" hidden="1">
      <c r="A303" s="269">
        <v>45710</v>
      </c>
      <c r="B303" s="270" t="s">
        <v>861</v>
      </c>
      <c r="C303" s="276" t="s">
        <v>175</v>
      </c>
      <c r="D303" s="271" t="s">
        <v>502</v>
      </c>
      <c r="E303" s="272">
        <v>7000</v>
      </c>
      <c r="F303" s="272">
        <v>11.403961214802081</v>
      </c>
      <c r="G303" s="273">
        <v>613.82180000000005</v>
      </c>
      <c r="H303" s="274" t="s">
        <v>332</v>
      </c>
      <c r="I303" s="274" t="s">
        <v>862</v>
      </c>
      <c r="J303" s="274" t="s">
        <v>98</v>
      </c>
      <c r="K303" s="274" t="s">
        <v>499</v>
      </c>
      <c r="L303" s="274" t="s">
        <v>2341</v>
      </c>
      <c r="M303" s="270"/>
      <c r="N303" s="270"/>
      <c r="O303" s="270"/>
    </row>
    <row r="304" spans="1:15" hidden="1">
      <c r="A304" s="269">
        <v>45711</v>
      </c>
      <c r="B304" s="270" t="s">
        <v>755</v>
      </c>
      <c r="C304" s="276" t="s">
        <v>403</v>
      </c>
      <c r="D304" s="271" t="s">
        <v>502</v>
      </c>
      <c r="E304" s="272">
        <v>68000</v>
      </c>
      <c r="F304" s="272">
        <v>110.7813375152202</v>
      </c>
      <c r="G304" s="273">
        <v>613.82180000000005</v>
      </c>
      <c r="H304" s="274" t="s">
        <v>176</v>
      </c>
      <c r="I304" s="274" t="s">
        <v>756</v>
      </c>
      <c r="J304" s="274" t="s">
        <v>98</v>
      </c>
      <c r="K304" s="274" t="s">
        <v>499</v>
      </c>
      <c r="L304" s="274" t="s">
        <v>2341</v>
      </c>
      <c r="M304" s="270"/>
      <c r="N304" s="270"/>
      <c r="O304" s="270"/>
    </row>
    <row r="305" spans="1:15" hidden="1">
      <c r="A305" s="269">
        <v>45712</v>
      </c>
      <c r="B305" s="270" t="s">
        <v>583</v>
      </c>
      <c r="C305" s="276" t="s">
        <v>179</v>
      </c>
      <c r="D305" s="270" t="s">
        <v>2343</v>
      </c>
      <c r="E305" s="272">
        <v>10500</v>
      </c>
      <c r="F305" s="272">
        <v>17.105941822203121</v>
      </c>
      <c r="G305" s="273">
        <v>613.82180000000005</v>
      </c>
      <c r="H305" s="274" t="s">
        <v>203</v>
      </c>
      <c r="I305" s="274" t="s">
        <v>584</v>
      </c>
      <c r="J305" s="274" t="s">
        <v>98</v>
      </c>
      <c r="K305" s="274" t="s">
        <v>499</v>
      </c>
      <c r="L305" s="274" t="s">
        <v>2341</v>
      </c>
      <c r="M305" s="270"/>
      <c r="N305" s="270"/>
      <c r="O305" s="270"/>
    </row>
    <row r="306" spans="1:15" hidden="1">
      <c r="A306" s="269">
        <v>45712</v>
      </c>
      <c r="B306" s="270" t="s">
        <v>585</v>
      </c>
      <c r="C306" s="276" t="s">
        <v>1321</v>
      </c>
      <c r="D306" s="270" t="s">
        <v>2343</v>
      </c>
      <c r="E306" s="272">
        <v>1500</v>
      </c>
      <c r="F306" s="272">
        <v>2.4437059746004457</v>
      </c>
      <c r="G306" s="273">
        <v>613.82180000000005</v>
      </c>
      <c r="H306" s="274" t="s">
        <v>203</v>
      </c>
      <c r="I306" s="274" t="s">
        <v>586</v>
      </c>
      <c r="J306" s="274" t="s">
        <v>98</v>
      </c>
      <c r="K306" s="274" t="s">
        <v>499</v>
      </c>
      <c r="L306" s="274" t="s">
        <v>2341</v>
      </c>
      <c r="M306" s="270"/>
      <c r="N306" s="270"/>
      <c r="O306" s="270"/>
    </row>
    <row r="307" spans="1:15" hidden="1">
      <c r="A307" s="269">
        <v>45712</v>
      </c>
      <c r="B307" s="270" t="s">
        <v>672</v>
      </c>
      <c r="C307" s="270" t="s">
        <v>152</v>
      </c>
      <c r="D307" s="271" t="s">
        <v>119</v>
      </c>
      <c r="E307" s="272">
        <v>5000</v>
      </c>
      <c r="F307" s="272">
        <v>8.1456865820014865</v>
      </c>
      <c r="G307" s="273">
        <v>613.82180000000005</v>
      </c>
      <c r="H307" s="274" t="s">
        <v>157</v>
      </c>
      <c r="I307" s="274" t="s">
        <v>673</v>
      </c>
      <c r="J307" s="274" t="s">
        <v>98</v>
      </c>
      <c r="K307" s="274" t="s">
        <v>499</v>
      </c>
      <c r="L307" s="274" t="s">
        <v>2341</v>
      </c>
      <c r="M307" s="270"/>
      <c r="N307" s="270"/>
      <c r="O307" s="270"/>
    </row>
    <row r="308" spans="1:15" hidden="1">
      <c r="A308" s="269">
        <v>45712</v>
      </c>
      <c r="B308" s="270" t="s">
        <v>729</v>
      </c>
      <c r="C308" s="276" t="s">
        <v>179</v>
      </c>
      <c r="D308" s="271" t="s">
        <v>502</v>
      </c>
      <c r="E308" s="272">
        <v>210000</v>
      </c>
      <c r="F308" s="272">
        <v>342.11883644406242</v>
      </c>
      <c r="G308" s="273">
        <v>613.82180000000005</v>
      </c>
      <c r="H308" s="274" t="s">
        <v>187</v>
      </c>
      <c r="I308" s="274" t="s">
        <v>730</v>
      </c>
      <c r="J308" s="274" t="s">
        <v>98</v>
      </c>
      <c r="K308" s="274" t="s">
        <v>499</v>
      </c>
      <c r="L308" s="274" t="s">
        <v>2341</v>
      </c>
      <c r="M308" s="270"/>
      <c r="N308" s="270"/>
      <c r="O308" s="270"/>
    </row>
    <row r="309" spans="1:15" hidden="1">
      <c r="A309" s="269">
        <v>45712</v>
      </c>
      <c r="B309" s="270" t="s">
        <v>731</v>
      </c>
      <c r="C309" s="276" t="s">
        <v>175</v>
      </c>
      <c r="D309" s="270" t="s">
        <v>2343</v>
      </c>
      <c r="E309" s="272">
        <v>50000</v>
      </c>
      <c r="F309" s="272">
        <v>81.456865820014855</v>
      </c>
      <c r="G309" s="273">
        <v>613.82180000000005</v>
      </c>
      <c r="H309" s="274" t="s">
        <v>187</v>
      </c>
      <c r="I309" s="274" t="s">
        <v>732</v>
      </c>
      <c r="J309" s="274" t="s">
        <v>98</v>
      </c>
      <c r="K309" s="274" t="s">
        <v>499</v>
      </c>
      <c r="L309" s="274" t="s">
        <v>2341</v>
      </c>
      <c r="M309" s="270"/>
      <c r="N309" s="270"/>
      <c r="O309" s="270"/>
    </row>
    <row r="310" spans="1:15" hidden="1">
      <c r="A310" s="269">
        <v>45712</v>
      </c>
      <c r="B310" s="270" t="s">
        <v>733</v>
      </c>
      <c r="C310" s="276" t="s">
        <v>175</v>
      </c>
      <c r="D310" s="270" t="s">
        <v>2343</v>
      </c>
      <c r="E310" s="272">
        <v>8000</v>
      </c>
      <c r="F310" s="272">
        <v>13.033098531202377</v>
      </c>
      <c r="G310" s="273">
        <v>613.82180000000005</v>
      </c>
      <c r="H310" s="274" t="s">
        <v>187</v>
      </c>
      <c r="I310" s="274" t="s">
        <v>734</v>
      </c>
      <c r="J310" s="274" t="s">
        <v>98</v>
      </c>
      <c r="K310" s="274" t="s">
        <v>499</v>
      </c>
      <c r="L310" s="274" t="s">
        <v>2341</v>
      </c>
      <c r="M310" s="270"/>
      <c r="N310" s="270"/>
      <c r="O310" s="270"/>
    </row>
    <row r="311" spans="1:15" hidden="1">
      <c r="A311" s="269">
        <v>45712</v>
      </c>
      <c r="B311" s="270" t="s">
        <v>735</v>
      </c>
      <c r="C311" s="276" t="s">
        <v>175</v>
      </c>
      <c r="D311" s="270" t="s">
        <v>2343</v>
      </c>
      <c r="E311" s="272">
        <v>8000</v>
      </c>
      <c r="F311" s="272">
        <v>13.033098531202377</v>
      </c>
      <c r="G311" s="273">
        <v>613.82180000000005</v>
      </c>
      <c r="H311" s="274" t="s">
        <v>187</v>
      </c>
      <c r="I311" s="274" t="s">
        <v>736</v>
      </c>
      <c r="J311" s="274" t="s">
        <v>98</v>
      </c>
      <c r="K311" s="274" t="s">
        <v>499</v>
      </c>
      <c r="L311" s="274" t="s">
        <v>2341</v>
      </c>
      <c r="M311" s="270"/>
      <c r="N311" s="270"/>
      <c r="O311" s="270"/>
    </row>
    <row r="312" spans="1:15" hidden="1">
      <c r="A312" s="269">
        <v>45712</v>
      </c>
      <c r="B312" s="270" t="s">
        <v>254</v>
      </c>
      <c r="C312" s="276" t="s">
        <v>179</v>
      </c>
      <c r="D312" s="270" t="s">
        <v>2343</v>
      </c>
      <c r="E312" s="272">
        <v>18000</v>
      </c>
      <c r="F312" s="272">
        <v>29.32447169520535</v>
      </c>
      <c r="G312" s="273">
        <v>613.82180000000005</v>
      </c>
      <c r="H312" s="274" t="s">
        <v>190</v>
      </c>
      <c r="I312" s="274" t="s">
        <v>797</v>
      </c>
      <c r="J312" s="274" t="s">
        <v>98</v>
      </c>
      <c r="K312" s="274" t="s">
        <v>499</v>
      </c>
      <c r="L312" s="274" t="s">
        <v>2341</v>
      </c>
      <c r="M312" s="270"/>
      <c r="N312" s="270"/>
      <c r="O312" s="270"/>
    </row>
    <row r="313" spans="1:15" hidden="1">
      <c r="A313" s="269">
        <v>45712</v>
      </c>
      <c r="B313" s="270" t="s">
        <v>798</v>
      </c>
      <c r="C313" s="276" t="s">
        <v>175</v>
      </c>
      <c r="D313" s="270" t="s">
        <v>2343</v>
      </c>
      <c r="E313" s="272">
        <v>25000</v>
      </c>
      <c r="F313" s="272">
        <v>40.728432910007427</v>
      </c>
      <c r="G313" s="273">
        <v>613.82180000000005</v>
      </c>
      <c r="H313" s="274" t="s">
        <v>190</v>
      </c>
      <c r="I313" s="274" t="s">
        <v>799</v>
      </c>
      <c r="J313" s="274" t="s">
        <v>98</v>
      </c>
      <c r="K313" s="274" t="s">
        <v>499</v>
      </c>
      <c r="L313" s="274" t="s">
        <v>2341</v>
      </c>
      <c r="M313" s="270"/>
      <c r="N313" s="270"/>
      <c r="O313" s="270"/>
    </row>
    <row r="314" spans="1:15" hidden="1">
      <c r="A314" s="269">
        <v>45712</v>
      </c>
      <c r="B314" s="270" t="s">
        <v>574</v>
      </c>
      <c r="C314" s="276" t="s">
        <v>179</v>
      </c>
      <c r="D314" s="271" t="s">
        <v>117</v>
      </c>
      <c r="E314" s="272">
        <v>5100</v>
      </c>
      <c r="F314" s="272">
        <v>8.3086003136415147</v>
      </c>
      <c r="G314" s="273">
        <v>613.82180000000005</v>
      </c>
      <c r="H314" s="274" t="s">
        <v>193</v>
      </c>
      <c r="I314" s="274" t="s">
        <v>575</v>
      </c>
      <c r="J314" s="274" t="s">
        <v>98</v>
      </c>
      <c r="K314" s="274" t="s">
        <v>499</v>
      </c>
      <c r="L314" s="274" t="s">
        <v>2341</v>
      </c>
      <c r="M314" s="270"/>
      <c r="N314" s="270"/>
      <c r="O314" s="270"/>
    </row>
    <row r="315" spans="1:15" hidden="1">
      <c r="A315" s="269">
        <v>45712</v>
      </c>
      <c r="B315" s="270" t="s">
        <v>888</v>
      </c>
      <c r="C315" s="277" t="s">
        <v>2342</v>
      </c>
      <c r="D315" s="270" t="s">
        <v>118</v>
      </c>
      <c r="E315" s="272">
        <v>8100</v>
      </c>
      <c r="F315" s="272">
        <v>13.196012262842407</v>
      </c>
      <c r="G315" s="273">
        <v>613.82180000000005</v>
      </c>
      <c r="H315" s="274" t="s">
        <v>196</v>
      </c>
      <c r="I315" s="274" t="s">
        <v>671</v>
      </c>
      <c r="J315" s="274" t="s">
        <v>98</v>
      </c>
      <c r="K315" s="274" t="s">
        <v>499</v>
      </c>
      <c r="L315" s="274" t="s">
        <v>2341</v>
      </c>
      <c r="M315" s="270"/>
      <c r="N315" s="270"/>
      <c r="O315" s="270"/>
    </row>
    <row r="316" spans="1:15" hidden="1">
      <c r="A316" s="269">
        <v>45712</v>
      </c>
      <c r="B316" s="270" t="s">
        <v>269</v>
      </c>
      <c r="C316" s="276" t="s">
        <v>179</v>
      </c>
      <c r="D316" s="270" t="s">
        <v>2343</v>
      </c>
      <c r="E316" s="272">
        <v>9800</v>
      </c>
      <c r="F316" s="272">
        <v>15.965545700722911</v>
      </c>
      <c r="G316" s="273">
        <v>613.82180000000005</v>
      </c>
      <c r="H316" s="274" t="s">
        <v>217</v>
      </c>
      <c r="I316" s="274" t="s">
        <v>550</v>
      </c>
      <c r="J316" s="274" t="s">
        <v>98</v>
      </c>
      <c r="K316" s="274" t="s">
        <v>499</v>
      </c>
      <c r="L316" s="274" t="s">
        <v>2341</v>
      </c>
      <c r="M316" s="270"/>
      <c r="N316" s="270"/>
      <c r="O316" s="270"/>
    </row>
    <row r="317" spans="1:15" hidden="1">
      <c r="A317" s="269">
        <v>45713</v>
      </c>
      <c r="B317" s="270" t="s">
        <v>700</v>
      </c>
      <c r="C317" s="276" t="s">
        <v>175</v>
      </c>
      <c r="D317" s="271" t="s">
        <v>119</v>
      </c>
      <c r="E317" s="272">
        <v>7000</v>
      </c>
      <c r="F317" s="272">
        <v>11.403961214802081</v>
      </c>
      <c r="G317" s="273">
        <v>613.82180000000005</v>
      </c>
      <c r="H317" s="274" t="s">
        <v>153</v>
      </c>
      <c r="I317" s="274" t="s">
        <v>701</v>
      </c>
      <c r="J317" s="274" t="s">
        <v>98</v>
      </c>
      <c r="K317" s="274" t="s">
        <v>499</v>
      </c>
      <c r="L317" s="274" t="s">
        <v>2341</v>
      </c>
      <c r="M317" s="270"/>
      <c r="N317" s="270"/>
      <c r="O317" s="270"/>
    </row>
    <row r="318" spans="1:15" hidden="1">
      <c r="A318" s="269">
        <v>45713</v>
      </c>
      <c r="B318" s="270" t="s">
        <v>702</v>
      </c>
      <c r="C318" s="276" t="s">
        <v>179</v>
      </c>
      <c r="D318" s="271" t="s">
        <v>119</v>
      </c>
      <c r="E318" s="272">
        <v>150000</v>
      </c>
      <c r="F318" s="272">
        <v>244.37059746004456</v>
      </c>
      <c r="G318" s="273">
        <v>613.82180000000005</v>
      </c>
      <c r="H318" s="274" t="s">
        <v>153</v>
      </c>
      <c r="I318" s="274" t="s">
        <v>703</v>
      </c>
      <c r="J318" s="274" t="s">
        <v>98</v>
      </c>
      <c r="K318" s="274" t="s">
        <v>499</v>
      </c>
      <c r="L318" s="274" t="s">
        <v>2341</v>
      </c>
      <c r="M318" s="270"/>
      <c r="N318" s="270"/>
      <c r="O318" s="270"/>
    </row>
    <row r="319" spans="1:15" hidden="1">
      <c r="A319" s="269">
        <v>45713</v>
      </c>
      <c r="B319" s="270" t="s">
        <v>587</v>
      </c>
      <c r="C319" s="270" t="s">
        <v>272</v>
      </c>
      <c r="D319" s="270" t="s">
        <v>2343</v>
      </c>
      <c r="E319" s="272">
        <v>180000</v>
      </c>
      <c r="F319" s="272">
        <v>293.24471695205347</v>
      </c>
      <c r="G319" s="273">
        <v>613.82180000000005</v>
      </c>
      <c r="H319" s="274" t="s">
        <v>203</v>
      </c>
      <c r="I319" s="274" t="s">
        <v>588</v>
      </c>
      <c r="J319" s="274" t="s">
        <v>98</v>
      </c>
      <c r="K319" s="274" t="s">
        <v>499</v>
      </c>
      <c r="L319" s="274" t="s">
        <v>2341</v>
      </c>
      <c r="M319" s="270"/>
      <c r="N319" s="270"/>
      <c r="O319" s="270"/>
    </row>
    <row r="320" spans="1:15" hidden="1">
      <c r="A320" s="269">
        <v>45713</v>
      </c>
      <c r="B320" s="270" t="s">
        <v>589</v>
      </c>
      <c r="C320" s="270" t="s">
        <v>272</v>
      </c>
      <c r="D320" s="270" t="s">
        <v>2343</v>
      </c>
      <c r="E320" s="272">
        <v>20000</v>
      </c>
      <c r="F320" s="272">
        <v>32.582746328005946</v>
      </c>
      <c r="G320" s="273">
        <v>613.82180000000005</v>
      </c>
      <c r="H320" s="274" t="s">
        <v>203</v>
      </c>
      <c r="I320" s="274" t="s">
        <v>590</v>
      </c>
      <c r="J320" s="274" t="s">
        <v>98</v>
      </c>
      <c r="K320" s="274" t="s">
        <v>499</v>
      </c>
      <c r="L320" s="274" t="s">
        <v>2341</v>
      </c>
      <c r="M320" s="270"/>
      <c r="N320" s="270"/>
      <c r="O320" s="270"/>
    </row>
    <row r="321" spans="1:15" hidden="1">
      <c r="A321" s="269">
        <v>45713</v>
      </c>
      <c r="B321" s="270" t="s">
        <v>885</v>
      </c>
      <c r="C321" s="276" t="s">
        <v>179</v>
      </c>
      <c r="D321" s="270" t="s">
        <v>2343</v>
      </c>
      <c r="E321" s="272">
        <v>105000</v>
      </c>
      <c r="F321" s="272">
        <v>181.26853794494306</v>
      </c>
      <c r="G321" s="273">
        <v>579.25099999999998</v>
      </c>
      <c r="H321" s="274" t="s">
        <v>187</v>
      </c>
      <c r="I321" s="274" t="s">
        <v>737</v>
      </c>
      <c r="J321" s="274" t="s">
        <v>98</v>
      </c>
      <c r="K321" s="278" t="s">
        <v>205</v>
      </c>
      <c r="L321" s="274" t="s">
        <v>2341</v>
      </c>
      <c r="M321" s="270"/>
      <c r="N321" s="270"/>
      <c r="O321" s="270"/>
    </row>
    <row r="322" spans="1:15" hidden="1">
      <c r="A322" s="269">
        <v>45713</v>
      </c>
      <c r="B322" s="270" t="s">
        <v>886</v>
      </c>
      <c r="C322" s="276" t="s">
        <v>179</v>
      </c>
      <c r="D322" s="270" t="s">
        <v>2343</v>
      </c>
      <c r="E322" s="272">
        <v>105000</v>
      </c>
      <c r="F322" s="272">
        <v>181.26853794494306</v>
      </c>
      <c r="G322" s="273">
        <v>579.25099999999998</v>
      </c>
      <c r="H322" s="274" t="s">
        <v>187</v>
      </c>
      <c r="I322" s="274" t="s">
        <v>738</v>
      </c>
      <c r="J322" s="274" t="s">
        <v>98</v>
      </c>
      <c r="K322" s="278" t="s">
        <v>205</v>
      </c>
      <c r="L322" s="274" t="s">
        <v>2341</v>
      </c>
      <c r="M322" s="270"/>
      <c r="N322" s="270"/>
      <c r="O322" s="270"/>
    </row>
    <row r="323" spans="1:15" hidden="1">
      <c r="A323" s="269">
        <v>45713</v>
      </c>
      <c r="B323" s="270" t="s">
        <v>863</v>
      </c>
      <c r="C323" s="276" t="s">
        <v>175</v>
      </c>
      <c r="D323" s="271" t="s">
        <v>502</v>
      </c>
      <c r="E323" s="272">
        <v>7000</v>
      </c>
      <c r="F323" s="272">
        <v>11.403961214802081</v>
      </c>
      <c r="G323" s="273">
        <v>613.82180000000005</v>
      </c>
      <c r="H323" s="274" t="s">
        <v>332</v>
      </c>
      <c r="I323" s="274" t="s">
        <v>864</v>
      </c>
      <c r="J323" s="274" t="s">
        <v>98</v>
      </c>
      <c r="K323" s="274" t="s">
        <v>499</v>
      </c>
      <c r="L323" s="274" t="s">
        <v>2341</v>
      </c>
      <c r="M323" s="270"/>
      <c r="N323" s="270"/>
      <c r="O323" s="270"/>
    </row>
    <row r="324" spans="1:15" hidden="1">
      <c r="A324" s="269">
        <v>45713</v>
      </c>
      <c r="B324" s="270" t="s">
        <v>800</v>
      </c>
      <c r="C324" s="276" t="s">
        <v>179</v>
      </c>
      <c r="D324" s="271" t="s">
        <v>117</v>
      </c>
      <c r="E324" s="272">
        <v>150000</v>
      </c>
      <c r="F324" s="272">
        <v>244.37059746004456</v>
      </c>
      <c r="G324" s="273">
        <v>613.82180000000005</v>
      </c>
      <c r="H324" s="274" t="s">
        <v>190</v>
      </c>
      <c r="I324" s="274" t="s">
        <v>801</v>
      </c>
      <c r="J324" s="274" t="s">
        <v>98</v>
      </c>
      <c r="K324" s="274" t="s">
        <v>499</v>
      </c>
      <c r="L324" s="274" t="s">
        <v>2341</v>
      </c>
      <c r="M324" s="270"/>
      <c r="N324" s="270"/>
      <c r="O324" s="270"/>
    </row>
    <row r="325" spans="1:15" hidden="1">
      <c r="A325" s="269">
        <v>45713</v>
      </c>
      <c r="B325" s="270" t="s">
        <v>551</v>
      </c>
      <c r="C325" s="276" t="s">
        <v>179</v>
      </c>
      <c r="D325" s="270" t="s">
        <v>120</v>
      </c>
      <c r="E325" s="272">
        <v>150000</v>
      </c>
      <c r="F325" s="272">
        <v>244.37059746004456</v>
      </c>
      <c r="G325" s="273">
        <v>613.82180000000005</v>
      </c>
      <c r="H325" s="274" t="s">
        <v>217</v>
      </c>
      <c r="I325" s="274" t="s">
        <v>552</v>
      </c>
      <c r="J325" s="274" t="s">
        <v>98</v>
      </c>
      <c r="K325" s="274" t="s">
        <v>499</v>
      </c>
      <c r="L325" s="274" t="s">
        <v>2341</v>
      </c>
      <c r="M325" s="270"/>
      <c r="N325" s="270"/>
      <c r="O325" s="270"/>
    </row>
    <row r="326" spans="1:15" hidden="1">
      <c r="A326" s="269">
        <v>45714</v>
      </c>
      <c r="B326" s="270" t="s">
        <v>675</v>
      </c>
      <c r="C326" s="270" t="s">
        <v>263</v>
      </c>
      <c r="D326" s="271" t="s">
        <v>117</v>
      </c>
      <c r="E326" s="272">
        <v>148000</v>
      </c>
      <c r="F326" s="272">
        <v>241.11232282724399</v>
      </c>
      <c r="G326" s="273">
        <v>613.82180000000005</v>
      </c>
      <c r="H326" s="274" t="s">
        <v>157</v>
      </c>
      <c r="I326" s="274" t="s">
        <v>676</v>
      </c>
      <c r="J326" s="274" t="s">
        <v>98</v>
      </c>
      <c r="K326" s="274" t="s">
        <v>499</v>
      </c>
      <c r="L326" s="274" t="s">
        <v>2341</v>
      </c>
      <c r="M326" s="270"/>
      <c r="N326" s="270"/>
      <c r="O326" s="270"/>
    </row>
    <row r="327" spans="1:15" hidden="1">
      <c r="A327" s="269">
        <v>45714</v>
      </c>
      <c r="B327" s="270" t="s">
        <v>667</v>
      </c>
      <c r="C327" s="277" t="s">
        <v>2342</v>
      </c>
      <c r="D327" s="270" t="s">
        <v>118</v>
      </c>
      <c r="E327" s="272">
        <v>10980</v>
      </c>
      <c r="F327" s="272">
        <v>17.887927734075262</v>
      </c>
      <c r="G327" s="273">
        <v>613.82180000000005</v>
      </c>
      <c r="H327" s="274" t="s">
        <v>643</v>
      </c>
      <c r="I327" s="274" t="s">
        <v>674</v>
      </c>
      <c r="J327" s="274" t="s">
        <v>98</v>
      </c>
      <c r="K327" s="274" t="s">
        <v>499</v>
      </c>
      <c r="L327" s="274" t="s">
        <v>2341</v>
      </c>
      <c r="M327" s="270"/>
      <c r="N327" s="270"/>
      <c r="O327" s="270"/>
    </row>
    <row r="328" spans="1:15" hidden="1">
      <c r="A328" s="269">
        <v>45714</v>
      </c>
      <c r="B328" s="270" t="s">
        <v>865</v>
      </c>
      <c r="C328" s="276" t="s">
        <v>179</v>
      </c>
      <c r="D328" s="271" t="s">
        <v>502</v>
      </c>
      <c r="E328" s="272">
        <v>20000</v>
      </c>
      <c r="F328" s="272">
        <v>32.582746328005946</v>
      </c>
      <c r="G328" s="273">
        <v>613.82180000000005</v>
      </c>
      <c r="H328" s="274" t="s">
        <v>332</v>
      </c>
      <c r="I328" s="274" t="s">
        <v>866</v>
      </c>
      <c r="J328" s="274" t="s">
        <v>98</v>
      </c>
      <c r="K328" s="274" t="s">
        <v>499</v>
      </c>
      <c r="L328" s="274" t="s">
        <v>2341</v>
      </c>
      <c r="M328" s="270"/>
      <c r="N328" s="270"/>
      <c r="O328" s="270"/>
    </row>
    <row r="329" spans="1:15" hidden="1">
      <c r="A329" s="269">
        <v>45714</v>
      </c>
      <c r="B329" s="270" t="s">
        <v>784</v>
      </c>
      <c r="C329" s="276" t="s">
        <v>175</v>
      </c>
      <c r="D329" s="271" t="s">
        <v>502</v>
      </c>
      <c r="E329" s="272">
        <v>40100</v>
      </c>
      <c r="F329" s="272">
        <v>65.32840638765191</v>
      </c>
      <c r="G329" s="273">
        <v>613.82180000000005</v>
      </c>
      <c r="H329" s="274" t="s">
        <v>343</v>
      </c>
      <c r="I329" s="274" t="s">
        <v>785</v>
      </c>
      <c r="J329" s="274" t="s">
        <v>98</v>
      </c>
      <c r="K329" s="274" t="s">
        <v>499</v>
      </c>
      <c r="L329" s="274" t="s">
        <v>2341</v>
      </c>
      <c r="M329" s="270"/>
      <c r="N329" s="270"/>
      <c r="O329" s="270"/>
    </row>
    <row r="330" spans="1:15" hidden="1">
      <c r="A330" s="269">
        <v>45714</v>
      </c>
      <c r="B330" s="270" t="s">
        <v>576</v>
      </c>
      <c r="C330" s="270" t="s">
        <v>327</v>
      </c>
      <c r="D330" s="271" t="s">
        <v>2343</v>
      </c>
      <c r="E330" s="272">
        <v>4000</v>
      </c>
      <c r="F330" s="272">
        <v>6.9054681121883075</v>
      </c>
      <c r="G330" s="273">
        <v>579.25099999999998</v>
      </c>
      <c r="H330" s="274" t="s">
        <v>193</v>
      </c>
      <c r="I330" s="274" t="s">
        <v>577</v>
      </c>
      <c r="J330" s="274" t="s">
        <v>98</v>
      </c>
      <c r="K330" s="278" t="s">
        <v>205</v>
      </c>
      <c r="L330" s="274" t="s">
        <v>2341</v>
      </c>
      <c r="M330" s="270"/>
      <c r="N330" s="270"/>
      <c r="O330" s="270"/>
    </row>
    <row r="331" spans="1:15" hidden="1">
      <c r="A331" s="269">
        <v>45715</v>
      </c>
      <c r="B331" s="270" t="s">
        <v>677</v>
      </c>
      <c r="C331" s="276" t="s">
        <v>317</v>
      </c>
      <c r="D331" s="270" t="s">
        <v>118</v>
      </c>
      <c r="E331" s="272">
        <v>20000</v>
      </c>
      <c r="F331" s="272">
        <v>34.527340560941539</v>
      </c>
      <c r="G331" s="273">
        <v>579.25099999999998</v>
      </c>
      <c r="H331" s="274" t="s">
        <v>157</v>
      </c>
      <c r="I331" s="274" t="s">
        <v>678</v>
      </c>
      <c r="J331" s="274" t="s">
        <v>98</v>
      </c>
      <c r="K331" s="278" t="s">
        <v>205</v>
      </c>
      <c r="L331" s="274" t="s">
        <v>2341</v>
      </c>
      <c r="M331" s="270"/>
      <c r="N331" s="270"/>
      <c r="O331" s="270"/>
    </row>
    <row r="332" spans="1:15" hidden="1">
      <c r="A332" s="269">
        <v>45715</v>
      </c>
      <c r="B332" s="270" t="s">
        <v>867</v>
      </c>
      <c r="C332" s="276" t="s">
        <v>403</v>
      </c>
      <c r="D332" s="271" t="s">
        <v>502</v>
      </c>
      <c r="E332" s="272">
        <v>29000</v>
      </c>
      <c r="F332" s="272">
        <v>50.06464381336523</v>
      </c>
      <c r="G332" s="273">
        <v>579.25099999999998</v>
      </c>
      <c r="H332" s="274" t="s">
        <v>332</v>
      </c>
      <c r="I332" s="274" t="s">
        <v>868</v>
      </c>
      <c r="J332" s="274" t="s">
        <v>98</v>
      </c>
      <c r="K332" s="278" t="s">
        <v>205</v>
      </c>
      <c r="L332" s="274" t="s">
        <v>2341</v>
      </c>
      <c r="M332" s="270"/>
      <c r="N332" s="270"/>
      <c r="O332" s="270"/>
    </row>
    <row r="333" spans="1:15" hidden="1">
      <c r="A333" s="269">
        <v>45715</v>
      </c>
      <c r="B333" s="270" t="s">
        <v>820</v>
      </c>
      <c r="C333" s="276" t="s">
        <v>175</v>
      </c>
      <c r="D333" s="271" t="s">
        <v>117</v>
      </c>
      <c r="E333" s="272">
        <v>26900</v>
      </c>
      <c r="F333" s="272">
        <v>46.439273054466369</v>
      </c>
      <c r="G333" s="273">
        <v>579.25099999999998</v>
      </c>
      <c r="H333" s="274" t="s">
        <v>196</v>
      </c>
      <c r="I333" s="274" t="s">
        <v>821</v>
      </c>
      <c r="J333" s="274" t="s">
        <v>98</v>
      </c>
      <c r="K333" s="278" t="s">
        <v>205</v>
      </c>
      <c r="L333" s="274" t="s">
        <v>2341</v>
      </c>
      <c r="M333" s="270"/>
      <c r="N333" s="270"/>
      <c r="O333" s="270"/>
    </row>
    <row r="334" spans="1:15" hidden="1">
      <c r="A334" s="269">
        <v>45715</v>
      </c>
      <c r="B334" s="270" t="s">
        <v>679</v>
      </c>
      <c r="C334" s="277" t="s">
        <v>2342</v>
      </c>
      <c r="D334" s="270" t="s">
        <v>118</v>
      </c>
      <c r="E334" s="272">
        <v>560</v>
      </c>
      <c r="F334" s="272">
        <v>0.93929314835967548</v>
      </c>
      <c r="G334" s="273">
        <v>596.19299999999998</v>
      </c>
      <c r="H334" s="274" t="s">
        <v>196</v>
      </c>
      <c r="I334" s="274" t="s">
        <v>680</v>
      </c>
      <c r="J334" s="274" t="s">
        <v>98</v>
      </c>
      <c r="K334" s="274" t="s">
        <v>2149</v>
      </c>
      <c r="L334" s="274" t="s">
        <v>2341</v>
      </c>
      <c r="M334" s="270"/>
      <c r="N334" s="270"/>
      <c r="O334" s="270"/>
    </row>
    <row r="335" spans="1:15" hidden="1">
      <c r="A335" s="269">
        <v>45715</v>
      </c>
      <c r="B335" s="270" t="s">
        <v>710</v>
      </c>
      <c r="C335" s="276" t="s">
        <v>175</v>
      </c>
      <c r="D335" s="270" t="s">
        <v>118</v>
      </c>
      <c r="E335" s="272">
        <v>7000</v>
      </c>
      <c r="F335" s="272">
        <v>11.741164354495943</v>
      </c>
      <c r="G335" s="273">
        <v>579.25099999999998</v>
      </c>
      <c r="H335" s="274" t="s">
        <v>643</v>
      </c>
      <c r="I335" s="274" t="s">
        <v>711</v>
      </c>
      <c r="J335" s="274" t="s">
        <v>98</v>
      </c>
      <c r="K335" s="278" t="s">
        <v>205</v>
      </c>
      <c r="L335" s="274" t="s">
        <v>2341</v>
      </c>
      <c r="M335" s="270"/>
      <c r="N335" s="270"/>
      <c r="O335" s="270"/>
    </row>
    <row r="336" spans="1:15" hidden="1">
      <c r="A336" s="269">
        <v>45716</v>
      </c>
      <c r="B336" s="270" t="s">
        <v>704</v>
      </c>
      <c r="C336" s="276" t="s">
        <v>175</v>
      </c>
      <c r="D336" s="271" t="s">
        <v>119</v>
      </c>
      <c r="E336" s="272">
        <v>39500</v>
      </c>
      <c r="F336" s="272">
        <v>68.191497607859532</v>
      </c>
      <c r="G336" s="273">
        <v>579.25099999999998</v>
      </c>
      <c r="H336" s="274" t="s">
        <v>153</v>
      </c>
      <c r="I336" s="274" t="s">
        <v>705</v>
      </c>
      <c r="J336" s="274" t="s">
        <v>98</v>
      </c>
      <c r="K336" s="278" t="s">
        <v>205</v>
      </c>
      <c r="L336" s="274" t="s">
        <v>2341</v>
      </c>
      <c r="M336" s="270"/>
      <c r="N336" s="270"/>
      <c r="O336" s="270"/>
    </row>
    <row r="337" spans="1:15" hidden="1">
      <c r="A337" s="269">
        <v>45716</v>
      </c>
      <c r="B337" s="270" t="s">
        <v>591</v>
      </c>
      <c r="C337" s="276" t="s">
        <v>175</v>
      </c>
      <c r="D337" s="271" t="s">
        <v>117</v>
      </c>
      <c r="E337" s="272">
        <v>14000</v>
      </c>
      <c r="F337" s="272">
        <v>24.169138392659075</v>
      </c>
      <c r="G337" s="273">
        <v>579.25099999999998</v>
      </c>
      <c r="H337" s="274" t="s">
        <v>203</v>
      </c>
      <c r="I337" s="274" t="s">
        <v>592</v>
      </c>
      <c r="J337" s="274" t="s">
        <v>98</v>
      </c>
      <c r="K337" s="278" t="s">
        <v>205</v>
      </c>
      <c r="L337" s="274" t="s">
        <v>2341</v>
      </c>
      <c r="M337" s="270"/>
      <c r="N337" s="270"/>
      <c r="O337" s="270"/>
    </row>
    <row r="338" spans="1:15" hidden="1">
      <c r="A338" s="269">
        <v>45716</v>
      </c>
      <c r="B338" s="270" t="s">
        <v>706</v>
      </c>
      <c r="C338" s="276" t="s">
        <v>175</v>
      </c>
      <c r="D338" s="270" t="s">
        <v>118</v>
      </c>
      <c r="E338" s="272">
        <v>35500</v>
      </c>
      <c r="F338" s="272">
        <v>61.286029495671229</v>
      </c>
      <c r="G338" s="273">
        <v>579.25099999999998</v>
      </c>
      <c r="H338" s="274" t="s">
        <v>157</v>
      </c>
      <c r="I338" s="274" t="s">
        <v>707</v>
      </c>
      <c r="J338" s="274" t="s">
        <v>98</v>
      </c>
      <c r="K338" s="278" t="s">
        <v>205</v>
      </c>
      <c r="L338" s="274" t="s">
        <v>2341</v>
      </c>
      <c r="M338" s="270"/>
      <c r="N338" s="270"/>
      <c r="O338" s="270"/>
    </row>
    <row r="339" spans="1:15" hidden="1">
      <c r="A339" s="269">
        <v>45716</v>
      </c>
      <c r="B339" s="270" t="s">
        <v>681</v>
      </c>
      <c r="C339" s="276" t="s">
        <v>317</v>
      </c>
      <c r="D339" s="270" t="s">
        <v>118</v>
      </c>
      <c r="E339" s="272">
        <v>6000</v>
      </c>
      <c r="F339" s="272">
        <v>10.35820216828246</v>
      </c>
      <c r="G339" s="273">
        <v>579.25099999999998</v>
      </c>
      <c r="H339" s="274" t="s">
        <v>157</v>
      </c>
      <c r="I339" s="274" t="s">
        <v>682</v>
      </c>
      <c r="J339" s="274" t="s">
        <v>98</v>
      </c>
      <c r="K339" s="278" t="s">
        <v>205</v>
      </c>
      <c r="L339" s="274" t="s">
        <v>2341</v>
      </c>
      <c r="M339" s="270"/>
      <c r="N339" s="270"/>
      <c r="O339" s="270"/>
    </row>
    <row r="340" spans="1:15" hidden="1">
      <c r="A340" s="269">
        <v>45716</v>
      </c>
      <c r="B340" s="270" t="s">
        <v>685</v>
      </c>
      <c r="C340" s="270" t="s">
        <v>686</v>
      </c>
      <c r="D340" s="270" t="s">
        <v>118</v>
      </c>
      <c r="E340" s="272">
        <v>45050</v>
      </c>
      <c r="F340" s="272">
        <v>77.772834613520814</v>
      </c>
      <c r="G340" s="273">
        <v>579.25099999999998</v>
      </c>
      <c r="H340" s="274" t="s">
        <v>157</v>
      </c>
      <c r="I340" s="274" t="s">
        <v>687</v>
      </c>
      <c r="J340" s="274" t="s">
        <v>98</v>
      </c>
      <c r="K340" s="278" t="s">
        <v>205</v>
      </c>
      <c r="L340" s="274" t="s">
        <v>2341</v>
      </c>
      <c r="M340" s="270"/>
      <c r="N340" s="270"/>
      <c r="O340" s="270"/>
    </row>
    <row r="341" spans="1:15" hidden="1">
      <c r="A341" s="269">
        <v>45716</v>
      </c>
      <c r="B341" s="270" t="s">
        <v>690</v>
      </c>
      <c r="C341" s="276" t="s">
        <v>1321</v>
      </c>
      <c r="D341" s="270" t="s">
        <v>118</v>
      </c>
      <c r="E341" s="272">
        <v>182000</v>
      </c>
      <c r="F341" s="272">
        <v>314.19879910456797</v>
      </c>
      <c r="G341" s="273">
        <v>579.25099999999998</v>
      </c>
      <c r="H341" s="274" t="s">
        <v>157</v>
      </c>
      <c r="I341" s="274" t="s">
        <v>691</v>
      </c>
      <c r="J341" s="274" t="s">
        <v>98</v>
      </c>
      <c r="K341" s="278" t="s">
        <v>205</v>
      </c>
      <c r="L341" s="274" t="s">
        <v>2341</v>
      </c>
      <c r="M341" s="270"/>
      <c r="N341" s="270"/>
      <c r="O341" s="270"/>
    </row>
    <row r="342" spans="1:15" hidden="1">
      <c r="A342" s="269">
        <v>45716</v>
      </c>
      <c r="B342" s="270" t="s">
        <v>692</v>
      </c>
      <c r="C342" s="270" t="s">
        <v>127</v>
      </c>
      <c r="D342" s="270" t="s">
        <v>118</v>
      </c>
      <c r="E342" s="272">
        <v>10500</v>
      </c>
      <c r="F342" s="272">
        <v>18.126853794494306</v>
      </c>
      <c r="G342" s="273">
        <v>579.25099999999998</v>
      </c>
      <c r="H342" s="274" t="s">
        <v>157</v>
      </c>
      <c r="I342" s="274" t="s">
        <v>693</v>
      </c>
      <c r="J342" s="274" t="s">
        <v>98</v>
      </c>
      <c r="K342" s="278" t="s">
        <v>205</v>
      </c>
      <c r="L342" s="274" t="s">
        <v>2341</v>
      </c>
      <c r="M342" s="270"/>
      <c r="N342" s="270"/>
      <c r="O342" s="270"/>
    </row>
    <row r="343" spans="1:15" hidden="1">
      <c r="A343" s="269">
        <v>45716</v>
      </c>
      <c r="B343" s="270" t="s">
        <v>683</v>
      </c>
      <c r="C343" s="277" t="s">
        <v>2342</v>
      </c>
      <c r="D343" s="270" t="s">
        <v>118</v>
      </c>
      <c r="E343" s="272">
        <v>7020</v>
      </c>
      <c r="F343" s="272">
        <v>12.119096536890479</v>
      </c>
      <c r="G343" s="273">
        <v>579.25099999999998</v>
      </c>
      <c r="H343" s="274" t="s">
        <v>643</v>
      </c>
      <c r="I343" s="279" t="s">
        <v>684</v>
      </c>
      <c r="J343" s="274" t="s">
        <v>98</v>
      </c>
      <c r="K343" s="278" t="s">
        <v>205</v>
      </c>
      <c r="L343" s="274" t="s">
        <v>2341</v>
      </c>
      <c r="M343" s="270"/>
      <c r="N343" s="270"/>
      <c r="O343" s="270"/>
    </row>
    <row r="344" spans="1:15" hidden="1">
      <c r="A344" s="269">
        <v>45716</v>
      </c>
      <c r="B344" s="270" t="s">
        <v>688</v>
      </c>
      <c r="C344" s="276" t="s">
        <v>317</v>
      </c>
      <c r="D344" s="270" t="s">
        <v>118</v>
      </c>
      <c r="E344" s="272">
        <v>75625</v>
      </c>
      <c r="F344" s="272">
        <v>130.55650649606019</v>
      </c>
      <c r="G344" s="273">
        <v>579.25099999999998</v>
      </c>
      <c r="H344" s="274" t="s">
        <v>643</v>
      </c>
      <c r="I344" s="279" t="s">
        <v>689</v>
      </c>
      <c r="J344" s="274" t="s">
        <v>98</v>
      </c>
      <c r="K344" s="278" t="s">
        <v>205</v>
      </c>
      <c r="L344" s="274" t="s">
        <v>2341</v>
      </c>
      <c r="M344" s="270"/>
      <c r="N344" s="270"/>
      <c r="O344" s="270"/>
    </row>
    <row r="345" spans="1:15" hidden="1">
      <c r="A345" s="269">
        <v>45716</v>
      </c>
      <c r="B345" s="270" t="s">
        <v>739</v>
      </c>
      <c r="C345" s="276" t="s">
        <v>175</v>
      </c>
      <c r="D345" s="271" t="s">
        <v>502</v>
      </c>
      <c r="E345" s="272">
        <v>6000</v>
      </c>
      <c r="F345" s="272">
        <v>10.35820216828246</v>
      </c>
      <c r="G345" s="273">
        <v>579.25099999999998</v>
      </c>
      <c r="H345" s="275" t="s">
        <v>187</v>
      </c>
      <c r="I345" s="275" t="s">
        <v>740</v>
      </c>
      <c r="J345" s="274" t="s">
        <v>98</v>
      </c>
      <c r="K345" s="278" t="s">
        <v>205</v>
      </c>
      <c r="L345" s="274" t="s">
        <v>2341</v>
      </c>
      <c r="M345" s="270"/>
      <c r="N345" s="270"/>
      <c r="O345" s="270"/>
    </row>
    <row r="346" spans="1:15" hidden="1">
      <c r="A346" s="269">
        <v>45716</v>
      </c>
      <c r="B346" s="270" t="s">
        <v>741</v>
      </c>
      <c r="C346" s="276" t="s">
        <v>179</v>
      </c>
      <c r="D346" s="271" t="s">
        <v>502</v>
      </c>
      <c r="E346" s="272">
        <v>60000</v>
      </c>
      <c r="F346" s="272">
        <v>103.5820216828246</v>
      </c>
      <c r="G346" s="273">
        <v>579.25099999999998</v>
      </c>
      <c r="H346" s="275" t="s">
        <v>187</v>
      </c>
      <c r="I346" s="275" t="s">
        <v>742</v>
      </c>
      <c r="J346" s="274" t="s">
        <v>98</v>
      </c>
      <c r="K346" s="278" t="s">
        <v>205</v>
      </c>
      <c r="L346" s="274" t="s">
        <v>2341</v>
      </c>
      <c r="M346" s="270"/>
      <c r="N346" s="270"/>
      <c r="O346" s="270"/>
    </row>
    <row r="347" spans="1:15" hidden="1">
      <c r="A347" s="269">
        <v>45716</v>
      </c>
      <c r="B347" s="270" t="s">
        <v>743</v>
      </c>
      <c r="C347" s="276" t="s">
        <v>175</v>
      </c>
      <c r="D347" s="271" t="s">
        <v>502</v>
      </c>
      <c r="E347" s="272">
        <v>66800</v>
      </c>
      <c r="F347" s="272">
        <v>115.32131747354472</v>
      </c>
      <c r="G347" s="273">
        <v>579.25099999999998</v>
      </c>
      <c r="H347" s="275" t="s">
        <v>187</v>
      </c>
      <c r="I347" s="275" t="s">
        <v>744</v>
      </c>
      <c r="J347" s="274" t="s">
        <v>98</v>
      </c>
      <c r="K347" s="278" t="s">
        <v>205</v>
      </c>
      <c r="L347" s="274" t="s">
        <v>2341</v>
      </c>
      <c r="M347" s="270"/>
      <c r="N347" s="270"/>
      <c r="O347" s="270"/>
    </row>
    <row r="348" spans="1:15" hidden="1">
      <c r="A348" s="269">
        <v>45716</v>
      </c>
      <c r="B348" s="270" t="s">
        <v>757</v>
      </c>
      <c r="C348" s="276" t="s">
        <v>179</v>
      </c>
      <c r="D348" s="271" t="s">
        <v>502</v>
      </c>
      <c r="E348" s="272">
        <v>60000</v>
      </c>
      <c r="F348" s="272">
        <v>103.5820216828246</v>
      </c>
      <c r="G348" s="273">
        <v>579.25099999999998</v>
      </c>
      <c r="H348" s="274" t="s">
        <v>176</v>
      </c>
      <c r="I348" s="274" t="s">
        <v>758</v>
      </c>
      <c r="J348" s="274" t="s">
        <v>98</v>
      </c>
      <c r="K348" s="278" t="s">
        <v>205</v>
      </c>
      <c r="L348" s="274" t="s">
        <v>2341</v>
      </c>
      <c r="M348" s="270"/>
      <c r="N348" s="270"/>
      <c r="O348" s="270"/>
    </row>
    <row r="349" spans="1:15" hidden="1">
      <c r="A349" s="269">
        <v>45716</v>
      </c>
      <c r="B349" s="270" t="s">
        <v>759</v>
      </c>
      <c r="C349" s="276" t="s">
        <v>175</v>
      </c>
      <c r="D349" s="271" t="s">
        <v>502</v>
      </c>
      <c r="E349" s="272">
        <v>6000</v>
      </c>
      <c r="F349" s="272">
        <v>10.35820216828246</v>
      </c>
      <c r="G349" s="273">
        <v>579.25099999999998</v>
      </c>
      <c r="H349" s="274" t="s">
        <v>176</v>
      </c>
      <c r="I349" s="274" t="s">
        <v>760</v>
      </c>
      <c r="J349" s="274" t="s">
        <v>98</v>
      </c>
      <c r="K349" s="278" t="s">
        <v>205</v>
      </c>
      <c r="L349" s="274" t="s">
        <v>2341</v>
      </c>
      <c r="M349" s="270"/>
      <c r="N349" s="270"/>
      <c r="O349" s="270"/>
    </row>
    <row r="350" spans="1:15" hidden="1">
      <c r="A350" s="269">
        <v>45716</v>
      </c>
      <c r="B350" s="270" t="s">
        <v>761</v>
      </c>
      <c r="C350" s="276" t="s">
        <v>175</v>
      </c>
      <c r="D350" s="271" t="s">
        <v>502</v>
      </c>
      <c r="E350" s="272">
        <v>53700</v>
      </c>
      <c r="F350" s="272">
        <v>92.705909406128029</v>
      </c>
      <c r="G350" s="273">
        <v>579.25099999999998</v>
      </c>
      <c r="H350" s="274" t="s">
        <v>176</v>
      </c>
      <c r="I350" s="274" t="s">
        <v>762</v>
      </c>
      <c r="J350" s="274" t="s">
        <v>98</v>
      </c>
      <c r="K350" s="278" t="s">
        <v>205</v>
      </c>
      <c r="L350" s="274" t="s">
        <v>2341</v>
      </c>
      <c r="M350" s="270"/>
      <c r="N350" s="270"/>
      <c r="O350" s="270"/>
    </row>
    <row r="351" spans="1:15" hidden="1">
      <c r="A351" s="269">
        <v>45716</v>
      </c>
      <c r="B351" s="270" t="s">
        <v>869</v>
      </c>
      <c r="C351" s="276" t="s">
        <v>179</v>
      </c>
      <c r="D351" s="271" t="s">
        <v>502</v>
      </c>
      <c r="E351" s="272">
        <v>30000</v>
      </c>
      <c r="F351" s="272">
        <v>51.791010841412302</v>
      </c>
      <c r="G351" s="273">
        <v>579.25099999999998</v>
      </c>
      <c r="H351" s="274" t="s">
        <v>332</v>
      </c>
      <c r="I351" s="274" t="s">
        <v>870</v>
      </c>
      <c r="J351" s="274" t="s">
        <v>98</v>
      </c>
      <c r="K351" s="278" t="s">
        <v>205</v>
      </c>
      <c r="L351" s="274" t="s">
        <v>2341</v>
      </c>
      <c r="M351" s="270"/>
      <c r="N351" s="270"/>
      <c r="O351" s="270"/>
    </row>
    <row r="352" spans="1:15" hidden="1">
      <c r="A352" s="269">
        <v>45716</v>
      </c>
      <c r="B352" s="270" t="s">
        <v>861</v>
      </c>
      <c r="C352" s="276" t="s">
        <v>175</v>
      </c>
      <c r="D352" s="271" t="s">
        <v>502</v>
      </c>
      <c r="E352" s="272">
        <v>7000</v>
      </c>
      <c r="F352" s="272">
        <v>12.084569196329538</v>
      </c>
      <c r="G352" s="273">
        <v>579.25099999999998</v>
      </c>
      <c r="H352" s="274" t="s">
        <v>332</v>
      </c>
      <c r="I352" s="274" t="s">
        <v>871</v>
      </c>
      <c r="J352" s="274" t="s">
        <v>98</v>
      </c>
      <c r="K352" s="278" t="s">
        <v>205</v>
      </c>
      <c r="L352" s="274" t="s">
        <v>2341</v>
      </c>
      <c r="M352" s="270"/>
      <c r="N352" s="270"/>
      <c r="O352" s="270"/>
    </row>
    <row r="353" spans="1:15" hidden="1">
      <c r="A353" s="269">
        <v>45716</v>
      </c>
      <c r="B353" s="270" t="s">
        <v>872</v>
      </c>
      <c r="C353" s="276" t="s">
        <v>175</v>
      </c>
      <c r="D353" s="271" t="s">
        <v>502</v>
      </c>
      <c r="E353" s="272">
        <v>66500</v>
      </c>
      <c r="F353" s="272">
        <v>114.80340736513061</v>
      </c>
      <c r="G353" s="273">
        <v>579.25099999999998</v>
      </c>
      <c r="H353" s="274" t="s">
        <v>332</v>
      </c>
      <c r="I353" s="274" t="s">
        <v>873</v>
      </c>
      <c r="J353" s="274" t="s">
        <v>98</v>
      </c>
      <c r="K353" s="278" t="s">
        <v>205</v>
      </c>
      <c r="L353" s="274" t="s">
        <v>2341</v>
      </c>
      <c r="M353" s="270"/>
      <c r="N353" s="270"/>
      <c r="O353" s="270"/>
    </row>
    <row r="354" spans="1:15" hidden="1">
      <c r="A354" s="269">
        <v>45716</v>
      </c>
      <c r="B354" s="270" t="s">
        <v>802</v>
      </c>
      <c r="C354" s="276" t="s">
        <v>1321</v>
      </c>
      <c r="D354" s="271" t="s">
        <v>117</v>
      </c>
      <c r="E354" s="272">
        <v>24675</v>
      </c>
      <c r="F354" s="272">
        <v>42.598106417061622</v>
      </c>
      <c r="G354" s="273">
        <v>579.25099999999998</v>
      </c>
      <c r="H354" s="274" t="s">
        <v>190</v>
      </c>
      <c r="I354" s="274" t="s">
        <v>803</v>
      </c>
      <c r="J354" s="274" t="s">
        <v>98</v>
      </c>
      <c r="K354" s="278" t="s">
        <v>205</v>
      </c>
      <c r="L354" s="274" t="s">
        <v>2341</v>
      </c>
      <c r="M354" s="270"/>
      <c r="N354" s="270"/>
      <c r="O354" s="270"/>
    </row>
    <row r="355" spans="1:15" hidden="1">
      <c r="A355" s="269">
        <v>45716</v>
      </c>
      <c r="B355" s="270" t="s">
        <v>804</v>
      </c>
      <c r="C355" s="276" t="s">
        <v>175</v>
      </c>
      <c r="D355" s="271" t="s">
        <v>117</v>
      </c>
      <c r="E355" s="272">
        <v>35500</v>
      </c>
      <c r="F355" s="272">
        <v>61.286029495671229</v>
      </c>
      <c r="G355" s="273">
        <v>579.25099999999998</v>
      </c>
      <c r="H355" s="274" t="s">
        <v>190</v>
      </c>
      <c r="I355" s="274" t="s">
        <v>805</v>
      </c>
      <c r="J355" s="274" t="s">
        <v>98</v>
      </c>
      <c r="K355" s="278" t="s">
        <v>205</v>
      </c>
      <c r="L355" s="274" t="s">
        <v>2341</v>
      </c>
      <c r="M355" s="270"/>
      <c r="N355" s="270"/>
      <c r="O355" s="270"/>
    </row>
    <row r="356" spans="1:15" hidden="1">
      <c r="A356" s="269">
        <v>45716</v>
      </c>
      <c r="B356" s="270" t="s">
        <v>578</v>
      </c>
      <c r="C356" s="270" t="s">
        <v>327</v>
      </c>
      <c r="D356" s="271" t="s">
        <v>2343</v>
      </c>
      <c r="E356" s="272">
        <v>18000</v>
      </c>
      <c r="F356" s="272">
        <v>31.074606504847381</v>
      </c>
      <c r="G356" s="273">
        <v>579.25099999999998</v>
      </c>
      <c r="H356" s="274" t="s">
        <v>193</v>
      </c>
      <c r="I356" s="274" t="s">
        <v>579</v>
      </c>
      <c r="J356" s="274" t="s">
        <v>98</v>
      </c>
      <c r="K356" s="278" t="s">
        <v>205</v>
      </c>
      <c r="L356" s="274" t="s">
        <v>2341</v>
      </c>
      <c r="M356" s="270"/>
      <c r="N356" s="270"/>
      <c r="O356" s="270"/>
    </row>
    <row r="357" spans="1:15" hidden="1">
      <c r="A357" s="269">
        <v>45716</v>
      </c>
      <c r="B357" s="270" t="s">
        <v>874</v>
      </c>
      <c r="C357" s="276" t="s">
        <v>175</v>
      </c>
      <c r="D357" s="271" t="s">
        <v>117</v>
      </c>
      <c r="E357" s="272">
        <v>45000</v>
      </c>
      <c r="F357" s="272">
        <v>77.68651626211846</v>
      </c>
      <c r="G357" s="273">
        <v>579.25099999999998</v>
      </c>
      <c r="H357" s="274" t="s">
        <v>193</v>
      </c>
      <c r="I357" s="274" t="s">
        <v>875</v>
      </c>
      <c r="J357" s="274" t="s">
        <v>98</v>
      </c>
      <c r="K357" s="278" t="s">
        <v>205</v>
      </c>
      <c r="L357" s="274" t="s">
        <v>2341</v>
      </c>
      <c r="M357" s="270"/>
      <c r="N357" s="270"/>
      <c r="O357" s="270"/>
    </row>
    <row r="358" spans="1:15" hidden="1">
      <c r="A358" s="269">
        <v>45716</v>
      </c>
      <c r="B358" s="270" t="s">
        <v>553</v>
      </c>
      <c r="C358" s="276" t="s">
        <v>179</v>
      </c>
      <c r="D358" s="270" t="s">
        <v>120</v>
      </c>
      <c r="E358" s="272">
        <v>45000</v>
      </c>
      <c r="F358" s="272">
        <v>77.68651626211846</v>
      </c>
      <c r="G358" s="273">
        <v>579.25099999999998</v>
      </c>
      <c r="H358" s="274" t="s">
        <v>217</v>
      </c>
      <c r="I358" s="274" t="s">
        <v>554</v>
      </c>
      <c r="J358" s="274" t="s">
        <v>98</v>
      </c>
      <c r="K358" s="278" t="s">
        <v>205</v>
      </c>
      <c r="L358" s="274" t="s">
        <v>2341</v>
      </c>
      <c r="M358" s="270"/>
      <c r="N358" s="270"/>
      <c r="O358" s="270"/>
    </row>
    <row r="359" spans="1:15" hidden="1">
      <c r="A359" s="269">
        <v>45716</v>
      </c>
      <c r="B359" s="270" t="s">
        <v>282</v>
      </c>
      <c r="C359" s="276" t="s">
        <v>175</v>
      </c>
      <c r="D359" s="270" t="s">
        <v>120</v>
      </c>
      <c r="E359" s="272">
        <v>7000</v>
      </c>
      <c r="F359" s="272">
        <v>12.084569196329538</v>
      </c>
      <c r="G359" s="273">
        <v>579.25099999999998</v>
      </c>
      <c r="H359" s="274" t="s">
        <v>217</v>
      </c>
      <c r="I359" s="274" t="s">
        <v>555</v>
      </c>
      <c r="J359" s="274" t="s">
        <v>98</v>
      </c>
      <c r="K359" s="278" t="s">
        <v>205</v>
      </c>
      <c r="L359" s="274" t="s">
        <v>2341</v>
      </c>
      <c r="M359" s="270"/>
      <c r="N359" s="270"/>
      <c r="O359" s="270"/>
    </row>
    <row r="360" spans="1:15" hidden="1">
      <c r="A360" s="269">
        <v>45716</v>
      </c>
      <c r="B360" s="270" t="s">
        <v>556</v>
      </c>
      <c r="C360" s="276" t="s">
        <v>175</v>
      </c>
      <c r="D360" s="270" t="s">
        <v>120</v>
      </c>
      <c r="E360" s="272">
        <v>33500</v>
      </c>
      <c r="F360" s="272">
        <v>57.833295439577071</v>
      </c>
      <c r="G360" s="273">
        <v>579.25099999999998</v>
      </c>
      <c r="H360" s="274" t="s">
        <v>217</v>
      </c>
      <c r="I360" s="274" t="s">
        <v>557</v>
      </c>
      <c r="J360" s="274" t="s">
        <v>98</v>
      </c>
      <c r="K360" s="278" t="s">
        <v>205</v>
      </c>
      <c r="L360" s="274" t="s">
        <v>2341</v>
      </c>
      <c r="M360" s="270"/>
      <c r="N360" s="270"/>
      <c r="O360" s="270"/>
    </row>
    <row r="361" spans="1:15" hidden="1">
      <c r="A361" s="269">
        <v>45716</v>
      </c>
      <c r="B361" s="270" t="s">
        <v>562</v>
      </c>
      <c r="C361" s="276" t="s">
        <v>2344</v>
      </c>
      <c r="D361" s="270" t="s">
        <v>120</v>
      </c>
      <c r="E361" s="272">
        <v>200000</v>
      </c>
      <c r="F361" s="272">
        <v>345.27340560941536</v>
      </c>
      <c r="G361" s="273">
        <v>579.25099999999998</v>
      </c>
      <c r="H361" s="274" t="s">
        <v>217</v>
      </c>
      <c r="I361" s="274" t="s">
        <v>563</v>
      </c>
      <c r="J361" s="274" t="s">
        <v>98</v>
      </c>
      <c r="K361" s="278" t="s">
        <v>205</v>
      </c>
      <c r="L361" s="274" t="s">
        <v>2341</v>
      </c>
      <c r="M361" s="270"/>
      <c r="N361" s="270"/>
      <c r="O361" s="270"/>
    </row>
    <row r="362" spans="1:15" hidden="1">
      <c r="A362" s="280">
        <v>45717</v>
      </c>
      <c r="B362" s="270" t="s">
        <v>1260</v>
      </c>
      <c r="C362" s="276" t="s">
        <v>179</v>
      </c>
      <c r="D362" s="271" t="s">
        <v>117</v>
      </c>
      <c r="E362" s="281">
        <v>75000</v>
      </c>
      <c r="F362" s="272">
        <v>129.47754945610797</v>
      </c>
      <c r="G362" s="282">
        <v>579.25099999999998</v>
      </c>
      <c r="H362" s="274" t="s">
        <v>203</v>
      </c>
      <c r="I362" s="274" t="s">
        <v>1286</v>
      </c>
      <c r="J362" s="274" t="s">
        <v>98</v>
      </c>
      <c r="K362" s="278" t="s">
        <v>205</v>
      </c>
      <c r="L362" s="274" t="s">
        <v>155</v>
      </c>
      <c r="M362" s="270"/>
      <c r="N362" s="270"/>
      <c r="O362" s="270"/>
    </row>
    <row r="363" spans="1:15" hidden="1">
      <c r="A363" s="280">
        <v>45717</v>
      </c>
      <c r="B363" s="270" t="s">
        <v>1214</v>
      </c>
      <c r="C363" s="276" t="s">
        <v>175</v>
      </c>
      <c r="D363" s="271" t="s">
        <v>117</v>
      </c>
      <c r="E363" s="281">
        <v>7000</v>
      </c>
      <c r="F363" s="272">
        <v>12.084571282570078</v>
      </c>
      <c r="G363" s="282">
        <v>579.25099999999998</v>
      </c>
      <c r="H363" s="274" t="s">
        <v>193</v>
      </c>
      <c r="I363" s="274" t="s">
        <v>1215</v>
      </c>
      <c r="J363" s="274" t="s">
        <v>98</v>
      </c>
      <c r="K363" s="278" t="s">
        <v>205</v>
      </c>
      <c r="L363" s="274" t="s">
        <v>155</v>
      </c>
      <c r="M363" s="270"/>
      <c r="N363" s="270"/>
      <c r="O363" s="270"/>
    </row>
    <row r="364" spans="1:15" hidden="1">
      <c r="A364" s="280">
        <v>45717</v>
      </c>
      <c r="B364" s="270" t="s">
        <v>1216</v>
      </c>
      <c r="C364" s="276" t="s">
        <v>179</v>
      </c>
      <c r="D364" s="271" t="s">
        <v>117</v>
      </c>
      <c r="E364" s="281">
        <v>135000</v>
      </c>
      <c r="F364" s="272">
        <v>233.05958902099437</v>
      </c>
      <c r="G364" s="282">
        <v>579.25099999999998</v>
      </c>
      <c r="H364" s="274" t="s">
        <v>193</v>
      </c>
      <c r="I364" s="274" t="s">
        <v>1217</v>
      </c>
      <c r="J364" s="274" t="s">
        <v>98</v>
      </c>
      <c r="K364" s="278" t="s">
        <v>205</v>
      </c>
      <c r="L364" s="274" t="s">
        <v>155</v>
      </c>
      <c r="M364" s="270"/>
      <c r="N364" s="270"/>
      <c r="O364" s="270"/>
    </row>
    <row r="365" spans="1:15" hidden="1">
      <c r="A365" s="280">
        <v>45719</v>
      </c>
      <c r="B365" s="270" t="s">
        <v>890</v>
      </c>
      <c r="C365" s="270" t="s">
        <v>152</v>
      </c>
      <c r="D365" s="270" t="s">
        <v>119</v>
      </c>
      <c r="E365" s="281">
        <v>47000</v>
      </c>
      <c r="F365" s="272">
        <v>81.139264325827668</v>
      </c>
      <c r="G365" s="282">
        <v>579.25099999999998</v>
      </c>
      <c r="H365" s="274" t="s">
        <v>157</v>
      </c>
      <c r="I365" s="274" t="s">
        <v>938</v>
      </c>
      <c r="J365" s="274" t="s">
        <v>98</v>
      </c>
      <c r="K365" s="278" t="s">
        <v>205</v>
      </c>
      <c r="L365" s="274" t="s">
        <v>155</v>
      </c>
      <c r="M365" s="270"/>
      <c r="N365" s="270"/>
      <c r="O365" s="270"/>
    </row>
    <row r="366" spans="1:15" hidden="1">
      <c r="A366" s="280">
        <v>45719</v>
      </c>
      <c r="B366" s="270" t="s">
        <v>891</v>
      </c>
      <c r="C366" s="270" t="s">
        <v>152</v>
      </c>
      <c r="D366" s="271" t="s">
        <v>117</v>
      </c>
      <c r="E366" s="281">
        <v>74000</v>
      </c>
      <c r="F366" s="272">
        <v>127.75118213002654</v>
      </c>
      <c r="G366" s="282">
        <v>579.25099999999998</v>
      </c>
      <c r="H366" s="274" t="s">
        <v>157</v>
      </c>
      <c r="I366" s="274" t="s">
        <v>939</v>
      </c>
      <c r="J366" s="274" t="s">
        <v>98</v>
      </c>
      <c r="K366" s="278" t="s">
        <v>205</v>
      </c>
      <c r="L366" s="274" t="s">
        <v>155</v>
      </c>
      <c r="M366" s="270"/>
      <c r="N366" s="270"/>
      <c r="O366" s="270"/>
    </row>
    <row r="367" spans="1:15" hidden="1">
      <c r="A367" s="280">
        <v>45719</v>
      </c>
      <c r="B367" s="270" t="s">
        <v>892</v>
      </c>
      <c r="C367" s="270" t="s">
        <v>152</v>
      </c>
      <c r="D367" s="271" t="s">
        <v>502</v>
      </c>
      <c r="E367" s="281">
        <v>88000</v>
      </c>
      <c r="F367" s="272">
        <v>151.9203246951667</v>
      </c>
      <c r="G367" s="282">
        <v>579.25099999999998</v>
      </c>
      <c r="H367" s="274" t="s">
        <v>157</v>
      </c>
      <c r="I367" s="274" t="s">
        <v>940</v>
      </c>
      <c r="J367" s="274" t="s">
        <v>98</v>
      </c>
      <c r="K367" s="278" t="s">
        <v>205</v>
      </c>
      <c r="L367" s="274" t="s">
        <v>155</v>
      </c>
      <c r="M367" s="270"/>
      <c r="N367" s="270"/>
      <c r="O367" s="270"/>
    </row>
    <row r="368" spans="1:15" hidden="1">
      <c r="A368" s="280">
        <v>45719</v>
      </c>
      <c r="B368" s="270" t="s">
        <v>893</v>
      </c>
      <c r="C368" s="270" t="s">
        <v>152</v>
      </c>
      <c r="D368" s="270" t="s">
        <v>120</v>
      </c>
      <c r="E368" s="281">
        <v>10000</v>
      </c>
      <c r="F368" s="272">
        <v>17.263673260814397</v>
      </c>
      <c r="G368" s="282">
        <v>579.25099999999998</v>
      </c>
      <c r="H368" s="274" t="s">
        <v>157</v>
      </c>
      <c r="I368" s="274" t="s">
        <v>941</v>
      </c>
      <c r="J368" s="274" t="s">
        <v>98</v>
      </c>
      <c r="K368" s="278" t="s">
        <v>205</v>
      </c>
      <c r="L368" s="274" t="s">
        <v>155</v>
      </c>
      <c r="M368" s="270"/>
      <c r="N368" s="270"/>
      <c r="O368" s="270"/>
    </row>
    <row r="369" spans="1:15" hidden="1">
      <c r="A369" s="280">
        <v>45719</v>
      </c>
      <c r="B369" s="270" t="s">
        <v>894</v>
      </c>
      <c r="C369" s="270" t="s">
        <v>152</v>
      </c>
      <c r="D369" s="271" t="s">
        <v>117</v>
      </c>
      <c r="E369" s="281">
        <v>10000</v>
      </c>
      <c r="F369" s="272">
        <v>17.263673260814397</v>
      </c>
      <c r="G369" s="282">
        <v>579.25099999999998</v>
      </c>
      <c r="H369" s="274" t="s">
        <v>157</v>
      </c>
      <c r="I369" s="274" t="s">
        <v>942</v>
      </c>
      <c r="J369" s="274" t="s">
        <v>98</v>
      </c>
      <c r="K369" s="278" t="s">
        <v>205</v>
      </c>
      <c r="L369" s="274" t="s">
        <v>155</v>
      </c>
      <c r="M369" s="270"/>
      <c r="N369" s="270"/>
      <c r="O369" s="270"/>
    </row>
    <row r="370" spans="1:15" hidden="1">
      <c r="A370" s="280">
        <v>45719</v>
      </c>
      <c r="B370" s="270" t="s">
        <v>895</v>
      </c>
      <c r="C370" s="270" t="s">
        <v>152</v>
      </c>
      <c r="D370" s="271" t="s">
        <v>502</v>
      </c>
      <c r="E370" s="281">
        <v>16000</v>
      </c>
      <c r="F370" s="272">
        <v>27.621877217303034</v>
      </c>
      <c r="G370" s="282">
        <v>579.25099999999998</v>
      </c>
      <c r="H370" s="274" t="s">
        <v>157</v>
      </c>
      <c r="I370" s="274" t="s">
        <v>943</v>
      </c>
      <c r="J370" s="274" t="s">
        <v>98</v>
      </c>
      <c r="K370" s="278" t="s">
        <v>205</v>
      </c>
      <c r="L370" s="274" t="s">
        <v>155</v>
      </c>
      <c r="M370" s="270"/>
      <c r="N370" s="270"/>
      <c r="O370" s="270"/>
    </row>
    <row r="371" spans="1:15" hidden="1">
      <c r="A371" s="280">
        <v>45719</v>
      </c>
      <c r="B371" s="270" t="s">
        <v>896</v>
      </c>
      <c r="C371" s="270" t="s">
        <v>152</v>
      </c>
      <c r="D371" s="270" t="s">
        <v>120</v>
      </c>
      <c r="E371" s="281">
        <v>11000</v>
      </c>
      <c r="F371" s="272">
        <v>18.990040586895837</v>
      </c>
      <c r="G371" s="282">
        <v>579.25099999999998</v>
      </c>
      <c r="H371" s="274" t="s">
        <v>157</v>
      </c>
      <c r="I371" s="274" t="s">
        <v>944</v>
      </c>
      <c r="J371" s="274" t="s">
        <v>98</v>
      </c>
      <c r="K371" s="278" t="s">
        <v>205</v>
      </c>
      <c r="L371" s="274" t="s">
        <v>155</v>
      </c>
      <c r="M371" s="270"/>
      <c r="N371" s="270"/>
      <c r="O371" s="270"/>
    </row>
    <row r="372" spans="1:15" hidden="1">
      <c r="A372" s="280">
        <v>45719</v>
      </c>
      <c r="B372" s="270" t="s">
        <v>897</v>
      </c>
      <c r="C372" s="276" t="s">
        <v>1726</v>
      </c>
      <c r="D372" s="271" t="s">
        <v>117</v>
      </c>
      <c r="E372" s="281">
        <v>65000</v>
      </c>
      <c r="F372" s="272">
        <v>112.21387619529358</v>
      </c>
      <c r="G372" s="282">
        <v>579.25099999999998</v>
      </c>
      <c r="H372" s="274" t="s">
        <v>157</v>
      </c>
      <c r="I372" s="274" t="s">
        <v>945</v>
      </c>
      <c r="J372" s="274" t="s">
        <v>98</v>
      </c>
      <c r="K372" s="278" t="s">
        <v>205</v>
      </c>
      <c r="L372" s="274" t="s">
        <v>155</v>
      </c>
      <c r="M372" s="270"/>
      <c r="N372" s="270"/>
      <c r="O372" s="270"/>
    </row>
    <row r="373" spans="1:15" hidden="1">
      <c r="A373" s="280">
        <v>45719</v>
      </c>
      <c r="B373" s="270" t="s">
        <v>899</v>
      </c>
      <c r="C373" s="270" t="s">
        <v>272</v>
      </c>
      <c r="D373" s="270" t="s">
        <v>2343</v>
      </c>
      <c r="E373" s="281">
        <v>45000</v>
      </c>
      <c r="F373" s="272">
        <v>77.686529673664793</v>
      </c>
      <c r="G373" s="282">
        <v>579.25099999999998</v>
      </c>
      <c r="H373" s="274" t="s">
        <v>157</v>
      </c>
      <c r="I373" s="274" t="s">
        <v>993</v>
      </c>
      <c r="J373" s="274" t="s">
        <v>98</v>
      </c>
      <c r="K373" s="278" t="s">
        <v>205</v>
      </c>
      <c r="L373" s="274" t="s">
        <v>155</v>
      </c>
      <c r="M373" s="270"/>
      <c r="N373" s="270"/>
      <c r="O373" s="270"/>
    </row>
    <row r="374" spans="1:15" hidden="1">
      <c r="A374" s="280">
        <v>45719</v>
      </c>
      <c r="B374" s="270" t="s">
        <v>628</v>
      </c>
      <c r="C374" s="270" t="s">
        <v>127</v>
      </c>
      <c r="D374" s="270" t="s">
        <v>120</v>
      </c>
      <c r="E374" s="281">
        <v>30000</v>
      </c>
      <c r="F374" s="272">
        <v>51.791019782443193</v>
      </c>
      <c r="G374" s="282">
        <v>579.25099999999998</v>
      </c>
      <c r="H374" s="274" t="s">
        <v>157</v>
      </c>
      <c r="I374" s="274" t="s">
        <v>994</v>
      </c>
      <c r="J374" s="274" t="s">
        <v>98</v>
      </c>
      <c r="K374" s="278" t="s">
        <v>205</v>
      </c>
      <c r="L374" s="274" t="s">
        <v>155</v>
      </c>
      <c r="M374" s="270"/>
      <c r="N374" s="270"/>
      <c r="O374" s="270"/>
    </row>
    <row r="375" spans="1:15" hidden="1">
      <c r="A375" s="280">
        <v>45719</v>
      </c>
      <c r="B375" s="270" t="s">
        <v>618</v>
      </c>
      <c r="C375" s="270" t="s">
        <v>127</v>
      </c>
      <c r="D375" s="270" t="s">
        <v>118</v>
      </c>
      <c r="E375" s="281">
        <v>94430</v>
      </c>
      <c r="F375" s="272">
        <v>163.02086660187035</v>
      </c>
      <c r="G375" s="282">
        <v>579.25099999999998</v>
      </c>
      <c r="H375" s="274" t="s">
        <v>157</v>
      </c>
      <c r="I375" s="274" t="s">
        <v>995</v>
      </c>
      <c r="J375" s="274" t="s">
        <v>98</v>
      </c>
      <c r="K375" s="278" t="s">
        <v>205</v>
      </c>
      <c r="L375" s="274" t="s">
        <v>155</v>
      </c>
      <c r="M375" s="270"/>
      <c r="N375" s="270"/>
      <c r="O375" s="270"/>
    </row>
    <row r="376" spans="1:15" hidden="1">
      <c r="A376" s="280">
        <v>45719</v>
      </c>
      <c r="B376" s="270" t="s">
        <v>900</v>
      </c>
      <c r="C376" s="270" t="s">
        <v>272</v>
      </c>
      <c r="D376" s="270" t="s">
        <v>2343</v>
      </c>
      <c r="E376" s="281">
        <v>20000</v>
      </c>
      <c r="F376" s="272">
        <v>34.527346521628793</v>
      </c>
      <c r="G376" s="282">
        <v>579.25099999999998</v>
      </c>
      <c r="H376" s="274" t="s">
        <v>157</v>
      </c>
      <c r="I376" s="274" t="s">
        <v>996</v>
      </c>
      <c r="J376" s="274" t="s">
        <v>98</v>
      </c>
      <c r="K376" s="278" t="s">
        <v>205</v>
      </c>
      <c r="L376" s="274" t="s">
        <v>155</v>
      </c>
      <c r="M376" s="270"/>
      <c r="N376" s="270"/>
      <c r="O376" s="270"/>
    </row>
    <row r="377" spans="1:15" hidden="1">
      <c r="A377" s="280">
        <v>45719</v>
      </c>
      <c r="B377" s="270" t="s">
        <v>902</v>
      </c>
      <c r="C377" s="270" t="s">
        <v>272</v>
      </c>
      <c r="D377" s="270" t="s">
        <v>2343</v>
      </c>
      <c r="E377" s="281">
        <v>45000</v>
      </c>
      <c r="F377" s="272">
        <v>77.686529673664793</v>
      </c>
      <c r="G377" s="282">
        <v>579.25099999999998</v>
      </c>
      <c r="H377" s="274" t="s">
        <v>157</v>
      </c>
      <c r="I377" s="274" t="s">
        <v>998</v>
      </c>
      <c r="J377" s="274" t="s">
        <v>98</v>
      </c>
      <c r="K377" s="278" t="s">
        <v>205</v>
      </c>
      <c r="L377" s="274" t="s">
        <v>155</v>
      </c>
      <c r="M377" s="270"/>
      <c r="N377" s="270"/>
      <c r="O377" s="270"/>
    </row>
    <row r="378" spans="1:15" hidden="1">
      <c r="A378" s="280">
        <v>45719</v>
      </c>
      <c r="B378" s="270" t="s">
        <v>624</v>
      </c>
      <c r="C378" s="270" t="s">
        <v>127</v>
      </c>
      <c r="D378" s="271" t="s">
        <v>117</v>
      </c>
      <c r="E378" s="281">
        <v>30000</v>
      </c>
      <c r="F378" s="272">
        <v>51.791019782443193</v>
      </c>
      <c r="G378" s="282">
        <v>579.25099999999998</v>
      </c>
      <c r="H378" s="274" t="s">
        <v>157</v>
      </c>
      <c r="I378" s="274" t="s">
        <v>999</v>
      </c>
      <c r="J378" s="274" t="s">
        <v>98</v>
      </c>
      <c r="K378" s="278" t="s">
        <v>205</v>
      </c>
      <c r="L378" s="274" t="s">
        <v>155</v>
      </c>
      <c r="M378" s="270"/>
      <c r="N378" s="270"/>
      <c r="O378" s="270"/>
    </row>
    <row r="379" spans="1:15" hidden="1">
      <c r="A379" s="280">
        <v>45719</v>
      </c>
      <c r="B379" s="270" t="s">
        <v>626</v>
      </c>
      <c r="C379" s="270" t="s">
        <v>127</v>
      </c>
      <c r="D379" s="271" t="s">
        <v>117</v>
      </c>
      <c r="E379" s="281">
        <v>30000</v>
      </c>
      <c r="F379" s="272">
        <v>51.791019782443193</v>
      </c>
      <c r="G379" s="282">
        <v>579.25099999999998</v>
      </c>
      <c r="H379" s="274" t="s">
        <v>157</v>
      </c>
      <c r="I379" s="274" t="s">
        <v>1000</v>
      </c>
      <c r="J379" s="274" t="s">
        <v>98</v>
      </c>
      <c r="K379" s="278" t="s">
        <v>205</v>
      </c>
      <c r="L379" s="274" t="s">
        <v>155</v>
      </c>
      <c r="M379" s="270"/>
      <c r="N379" s="270"/>
      <c r="O379" s="270"/>
    </row>
    <row r="380" spans="1:15" hidden="1">
      <c r="A380" s="280">
        <v>45719</v>
      </c>
      <c r="B380" s="270" t="s">
        <v>1304</v>
      </c>
      <c r="C380" s="276" t="s">
        <v>1321</v>
      </c>
      <c r="D380" s="270" t="s">
        <v>118</v>
      </c>
      <c r="E380" s="281">
        <v>25000</v>
      </c>
      <c r="F380" s="272">
        <v>43.159183152035993</v>
      </c>
      <c r="G380" s="282">
        <v>579.25099999999998</v>
      </c>
      <c r="H380" s="274" t="s">
        <v>643</v>
      </c>
      <c r="I380" s="274" t="s">
        <v>946</v>
      </c>
      <c r="J380" s="274" t="s">
        <v>98</v>
      </c>
      <c r="K380" s="278" t="s">
        <v>205</v>
      </c>
      <c r="L380" s="274" t="s">
        <v>155</v>
      </c>
      <c r="M380" s="270"/>
      <c r="N380" s="270"/>
      <c r="O380" s="270"/>
    </row>
    <row r="381" spans="1:15" hidden="1">
      <c r="A381" s="280">
        <v>45719</v>
      </c>
      <c r="B381" s="270" t="s">
        <v>901</v>
      </c>
      <c r="C381" s="270" t="s">
        <v>127</v>
      </c>
      <c r="D381" s="270" t="s">
        <v>118</v>
      </c>
      <c r="E381" s="281">
        <v>15000</v>
      </c>
      <c r="F381" s="272">
        <v>25.895509891221597</v>
      </c>
      <c r="G381" s="282">
        <v>579.25099999999998</v>
      </c>
      <c r="H381" s="274" t="s">
        <v>643</v>
      </c>
      <c r="I381" s="274" t="s">
        <v>997</v>
      </c>
      <c r="J381" s="274" t="s">
        <v>98</v>
      </c>
      <c r="K381" s="278" t="s">
        <v>205</v>
      </c>
      <c r="L381" s="274" t="s">
        <v>155</v>
      </c>
      <c r="M381" s="270"/>
      <c r="N381" s="270"/>
      <c r="O381" s="270"/>
    </row>
    <row r="382" spans="1:15" hidden="1">
      <c r="A382" s="280">
        <v>45719</v>
      </c>
      <c r="B382" s="283" t="s">
        <v>898</v>
      </c>
      <c r="C382" s="276" t="s">
        <v>1321</v>
      </c>
      <c r="D382" s="270" t="s">
        <v>118</v>
      </c>
      <c r="E382" s="281">
        <v>62500</v>
      </c>
      <c r="F382" s="272">
        <v>107.89795788008998</v>
      </c>
      <c r="G382" s="282">
        <v>579.25099999999998</v>
      </c>
      <c r="H382" s="274" t="s">
        <v>193</v>
      </c>
      <c r="I382" s="274" t="s">
        <v>947</v>
      </c>
      <c r="J382" s="274" t="s">
        <v>98</v>
      </c>
      <c r="K382" s="278" t="s">
        <v>205</v>
      </c>
      <c r="L382" s="274" t="s">
        <v>155</v>
      </c>
      <c r="M382" s="270"/>
      <c r="N382" s="270"/>
      <c r="O382" s="270"/>
    </row>
    <row r="383" spans="1:15" hidden="1">
      <c r="A383" s="280">
        <v>45719</v>
      </c>
      <c r="B383" s="270" t="s">
        <v>545</v>
      </c>
      <c r="C383" s="276" t="s">
        <v>126</v>
      </c>
      <c r="D383" s="270" t="s">
        <v>118</v>
      </c>
      <c r="E383" s="281">
        <v>500000</v>
      </c>
      <c r="F383" s="272">
        <v>863.18366304071981</v>
      </c>
      <c r="G383" s="282">
        <v>579.25099999999998</v>
      </c>
      <c r="H383" s="274" t="s">
        <v>148</v>
      </c>
      <c r="I383" s="274" t="s">
        <v>1049</v>
      </c>
      <c r="J383" s="274" t="s">
        <v>98</v>
      </c>
      <c r="K383" s="278" t="s">
        <v>205</v>
      </c>
      <c r="L383" s="274" t="s">
        <v>155</v>
      </c>
      <c r="M383" s="270"/>
      <c r="N383" s="270"/>
      <c r="O383" s="270"/>
    </row>
    <row r="384" spans="1:15" hidden="1">
      <c r="A384" s="280">
        <v>45719</v>
      </c>
      <c r="B384" s="270" t="s">
        <v>1008</v>
      </c>
      <c r="C384" s="270" t="s">
        <v>127</v>
      </c>
      <c r="D384" s="271" t="s">
        <v>117</v>
      </c>
      <c r="E384" s="281">
        <v>200000</v>
      </c>
      <c r="F384" s="272">
        <v>345.27346521628795</v>
      </c>
      <c r="G384" s="282">
        <v>579.25099999999998</v>
      </c>
      <c r="H384" s="274" t="s">
        <v>148</v>
      </c>
      <c r="I384" s="274" t="s">
        <v>1050</v>
      </c>
      <c r="J384" s="274" t="s">
        <v>98</v>
      </c>
      <c r="K384" s="278" t="s">
        <v>205</v>
      </c>
      <c r="L384" s="274" t="s">
        <v>155</v>
      </c>
      <c r="M384" s="270"/>
      <c r="N384" s="270"/>
      <c r="O384" s="270"/>
    </row>
    <row r="385" spans="1:15" hidden="1">
      <c r="A385" s="280">
        <v>45719</v>
      </c>
      <c r="B385" s="270" t="s">
        <v>1009</v>
      </c>
      <c r="C385" s="270" t="s">
        <v>127</v>
      </c>
      <c r="D385" s="271" t="s">
        <v>117</v>
      </c>
      <c r="E385" s="281">
        <v>200000</v>
      </c>
      <c r="F385" s="272">
        <v>345.27346521628795</v>
      </c>
      <c r="G385" s="282">
        <v>579.25099999999998</v>
      </c>
      <c r="H385" s="274" t="s">
        <v>148</v>
      </c>
      <c r="I385" s="274" t="s">
        <v>1051</v>
      </c>
      <c r="J385" s="274" t="s">
        <v>98</v>
      </c>
      <c r="K385" s="278" t="s">
        <v>205</v>
      </c>
      <c r="L385" s="274" t="s">
        <v>155</v>
      </c>
      <c r="M385" s="270"/>
      <c r="N385" s="270"/>
      <c r="O385" s="270"/>
    </row>
    <row r="386" spans="1:15" hidden="1">
      <c r="A386" s="280">
        <v>45719</v>
      </c>
      <c r="B386" s="270" t="s">
        <v>1010</v>
      </c>
      <c r="C386" s="270" t="s">
        <v>127</v>
      </c>
      <c r="D386" s="271" t="s">
        <v>117</v>
      </c>
      <c r="E386" s="281">
        <v>200000</v>
      </c>
      <c r="F386" s="272">
        <v>345.27346521628795</v>
      </c>
      <c r="G386" s="282">
        <v>579.25099999999998</v>
      </c>
      <c r="H386" s="274" t="s">
        <v>148</v>
      </c>
      <c r="I386" s="274" t="s">
        <v>1052</v>
      </c>
      <c r="J386" s="274" t="s">
        <v>98</v>
      </c>
      <c r="K386" s="278" t="s">
        <v>205</v>
      </c>
      <c r="L386" s="274" t="s">
        <v>155</v>
      </c>
      <c r="M386" s="270"/>
      <c r="N386" s="270"/>
      <c r="O386" s="270"/>
    </row>
    <row r="387" spans="1:15" hidden="1">
      <c r="A387" s="280">
        <v>45719</v>
      </c>
      <c r="B387" s="270" t="s">
        <v>1011</v>
      </c>
      <c r="C387" s="270" t="s">
        <v>127</v>
      </c>
      <c r="D387" s="271" t="s">
        <v>117</v>
      </c>
      <c r="E387" s="281">
        <v>551482</v>
      </c>
      <c r="F387" s="272">
        <v>952.06050572204458</v>
      </c>
      <c r="G387" s="282">
        <v>579.25099999999998</v>
      </c>
      <c r="H387" s="274" t="s">
        <v>148</v>
      </c>
      <c r="I387" s="274" t="s">
        <v>1053</v>
      </c>
      <c r="J387" s="274" t="s">
        <v>98</v>
      </c>
      <c r="K387" s="278" t="s">
        <v>205</v>
      </c>
      <c r="L387" s="274" t="s">
        <v>155</v>
      </c>
      <c r="M387" s="270"/>
      <c r="N387" s="270"/>
      <c r="O387" s="270"/>
    </row>
    <row r="388" spans="1:15" hidden="1">
      <c r="A388" s="280">
        <v>45719</v>
      </c>
      <c r="B388" s="270" t="s">
        <v>1012</v>
      </c>
      <c r="C388" s="270" t="s">
        <v>127</v>
      </c>
      <c r="D388" s="270" t="s">
        <v>118</v>
      </c>
      <c r="E388" s="281">
        <v>384789</v>
      </c>
      <c r="F388" s="272">
        <v>664.2871570355511</v>
      </c>
      <c r="G388" s="282">
        <v>579.25099999999998</v>
      </c>
      <c r="H388" s="274" t="s">
        <v>148</v>
      </c>
      <c r="I388" s="274" t="s">
        <v>1054</v>
      </c>
      <c r="J388" s="274" t="s">
        <v>98</v>
      </c>
      <c r="K388" s="278" t="s">
        <v>205</v>
      </c>
      <c r="L388" s="274" t="s">
        <v>155</v>
      </c>
      <c r="M388" s="270"/>
      <c r="N388" s="270"/>
      <c r="O388" s="270"/>
    </row>
    <row r="389" spans="1:15" hidden="1">
      <c r="A389" s="280">
        <v>45719</v>
      </c>
      <c r="B389" s="270" t="s">
        <v>1013</v>
      </c>
      <c r="C389" s="270" t="s">
        <v>127</v>
      </c>
      <c r="D389" s="270" t="s">
        <v>120</v>
      </c>
      <c r="E389" s="281">
        <v>238140</v>
      </c>
      <c r="F389" s="272">
        <v>411.11711503303405</v>
      </c>
      <c r="G389" s="282">
        <v>579.25099999999998</v>
      </c>
      <c r="H389" s="274" t="s">
        <v>148</v>
      </c>
      <c r="I389" s="274" t="s">
        <v>1055</v>
      </c>
      <c r="J389" s="274" t="s">
        <v>98</v>
      </c>
      <c r="K389" s="278" t="s">
        <v>205</v>
      </c>
      <c r="L389" s="274" t="s">
        <v>155</v>
      </c>
      <c r="M389" s="270"/>
      <c r="N389" s="270"/>
      <c r="O389" s="270"/>
    </row>
    <row r="390" spans="1:15" hidden="1">
      <c r="A390" s="280">
        <v>45719</v>
      </c>
      <c r="B390" s="270" t="s">
        <v>1014</v>
      </c>
      <c r="C390" s="270" t="s">
        <v>127</v>
      </c>
      <c r="D390" s="271" t="s">
        <v>502</v>
      </c>
      <c r="E390" s="281">
        <v>405000</v>
      </c>
      <c r="F390" s="272">
        <v>699.17876706298307</v>
      </c>
      <c r="G390" s="282">
        <v>579.25099999999998</v>
      </c>
      <c r="H390" s="274" t="s">
        <v>148</v>
      </c>
      <c r="I390" s="274" t="s">
        <v>1056</v>
      </c>
      <c r="J390" s="274" t="s">
        <v>98</v>
      </c>
      <c r="K390" s="278" t="s">
        <v>205</v>
      </c>
      <c r="L390" s="274" t="s">
        <v>155</v>
      </c>
      <c r="M390" s="270"/>
      <c r="N390" s="270"/>
      <c r="O390" s="270"/>
    </row>
    <row r="391" spans="1:15" hidden="1">
      <c r="A391" s="280">
        <v>45719</v>
      </c>
      <c r="B391" s="270" t="s">
        <v>1015</v>
      </c>
      <c r="C391" s="270" t="s">
        <v>127</v>
      </c>
      <c r="D391" s="271" t="s">
        <v>502</v>
      </c>
      <c r="E391" s="281">
        <v>460000</v>
      </c>
      <c r="F391" s="272">
        <v>794.12896999746226</v>
      </c>
      <c r="G391" s="282">
        <v>579.25099999999998</v>
      </c>
      <c r="H391" s="274" t="s">
        <v>148</v>
      </c>
      <c r="I391" s="274" t="s">
        <v>1057</v>
      </c>
      <c r="J391" s="274" t="s">
        <v>98</v>
      </c>
      <c r="K391" s="278" t="s">
        <v>205</v>
      </c>
      <c r="L391" s="274" t="s">
        <v>155</v>
      </c>
      <c r="M391" s="270"/>
      <c r="N391" s="270"/>
      <c r="O391" s="270"/>
    </row>
    <row r="392" spans="1:15" hidden="1">
      <c r="A392" s="280">
        <v>45719</v>
      </c>
      <c r="B392" s="270" t="s">
        <v>1016</v>
      </c>
      <c r="C392" s="270" t="s">
        <v>127</v>
      </c>
      <c r="D392" s="271" t="s">
        <v>502</v>
      </c>
      <c r="E392" s="281">
        <v>255000</v>
      </c>
      <c r="F392" s="272">
        <v>440.22366815076714</v>
      </c>
      <c r="G392" s="282">
        <v>579.25099999999998</v>
      </c>
      <c r="H392" s="274" t="s">
        <v>148</v>
      </c>
      <c r="I392" s="274" t="s">
        <v>1058</v>
      </c>
      <c r="J392" s="274" t="s">
        <v>98</v>
      </c>
      <c r="K392" s="278" t="s">
        <v>205</v>
      </c>
      <c r="L392" s="274" t="s">
        <v>155</v>
      </c>
      <c r="M392" s="270"/>
      <c r="N392" s="270"/>
      <c r="O392" s="270"/>
    </row>
    <row r="393" spans="1:15" hidden="1">
      <c r="A393" s="280">
        <v>45719</v>
      </c>
      <c r="B393" s="270" t="s">
        <v>1017</v>
      </c>
      <c r="C393" s="270" t="s">
        <v>127</v>
      </c>
      <c r="D393" s="271" t="s">
        <v>502</v>
      </c>
      <c r="E393" s="281">
        <v>255000</v>
      </c>
      <c r="F393" s="272">
        <v>440.22366815076714</v>
      </c>
      <c r="G393" s="282">
        <v>579.25099999999998</v>
      </c>
      <c r="H393" s="274" t="s">
        <v>148</v>
      </c>
      <c r="I393" s="274" t="s">
        <v>1059</v>
      </c>
      <c r="J393" s="274" t="s">
        <v>98</v>
      </c>
      <c r="K393" s="278" t="s">
        <v>205</v>
      </c>
      <c r="L393" s="274" t="s">
        <v>155</v>
      </c>
      <c r="M393" s="270"/>
      <c r="N393" s="270"/>
      <c r="O393" s="270"/>
    </row>
    <row r="394" spans="1:15" hidden="1">
      <c r="A394" s="280">
        <v>45719</v>
      </c>
      <c r="B394" s="270" t="s">
        <v>1018</v>
      </c>
      <c r="C394" s="270" t="s">
        <v>317</v>
      </c>
      <c r="D394" s="270" t="s">
        <v>118</v>
      </c>
      <c r="E394" s="281">
        <v>260000</v>
      </c>
      <c r="F394" s="272">
        <v>448.85550478117432</v>
      </c>
      <c r="G394" s="282">
        <v>579.25099999999998</v>
      </c>
      <c r="H394" s="274" t="s">
        <v>148</v>
      </c>
      <c r="I394" s="274" t="s">
        <v>1060</v>
      </c>
      <c r="J394" s="274" t="s">
        <v>98</v>
      </c>
      <c r="K394" s="278" t="s">
        <v>205</v>
      </c>
      <c r="L394" s="274" t="s">
        <v>155</v>
      </c>
      <c r="M394" s="270"/>
      <c r="N394" s="270"/>
      <c r="O394" s="270"/>
    </row>
    <row r="395" spans="1:15" hidden="1">
      <c r="A395" s="280">
        <v>45719</v>
      </c>
      <c r="B395" s="270" t="s">
        <v>1019</v>
      </c>
      <c r="C395" s="270" t="s">
        <v>128</v>
      </c>
      <c r="D395" s="270" t="s">
        <v>118</v>
      </c>
      <c r="E395" s="281">
        <v>10665</v>
      </c>
      <c r="F395" s="272">
        <v>18.411707532658554</v>
      </c>
      <c r="G395" s="282">
        <v>579.25099999999998</v>
      </c>
      <c r="H395" s="274" t="s">
        <v>148</v>
      </c>
      <c r="I395" s="274" t="s">
        <v>1061</v>
      </c>
      <c r="J395" s="274" t="s">
        <v>98</v>
      </c>
      <c r="K395" s="278" t="s">
        <v>205</v>
      </c>
      <c r="L395" s="274" t="s">
        <v>155</v>
      </c>
      <c r="M395" s="270"/>
      <c r="N395" s="270"/>
      <c r="O395" s="270"/>
    </row>
    <row r="396" spans="1:15" hidden="1">
      <c r="A396" s="280">
        <v>45719</v>
      </c>
      <c r="B396" s="270" t="s">
        <v>1020</v>
      </c>
      <c r="C396" s="270" t="s">
        <v>123</v>
      </c>
      <c r="D396" s="271" t="s">
        <v>117</v>
      </c>
      <c r="E396" s="281">
        <v>300000</v>
      </c>
      <c r="F396" s="272">
        <v>517.91019782443186</v>
      </c>
      <c r="G396" s="282">
        <v>579.25099999999998</v>
      </c>
      <c r="H396" s="274" t="s">
        <v>148</v>
      </c>
      <c r="I396" s="274" t="s">
        <v>1062</v>
      </c>
      <c r="J396" s="274" t="s">
        <v>98</v>
      </c>
      <c r="K396" s="278" t="s">
        <v>205</v>
      </c>
      <c r="L396" s="274" t="s">
        <v>155</v>
      </c>
      <c r="M396" s="270"/>
      <c r="N396" s="270"/>
      <c r="O396" s="270"/>
    </row>
    <row r="397" spans="1:15" hidden="1">
      <c r="A397" s="280">
        <v>45720</v>
      </c>
      <c r="B397" s="270" t="s">
        <v>1305</v>
      </c>
      <c r="C397" s="276" t="s">
        <v>403</v>
      </c>
      <c r="D397" s="271" t="s">
        <v>502</v>
      </c>
      <c r="E397" s="281">
        <v>30000</v>
      </c>
      <c r="F397" s="272">
        <v>51.791019782443193</v>
      </c>
      <c r="G397" s="282">
        <v>579.25099999999998</v>
      </c>
      <c r="H397" s="274" t="s">
        <v>153</v>
      </c>
      <c r="I397" s="274" t="s">
        <v>949</v>
      </c>
      <c r="J397" s="274" t="s">
        <v>98</v>
      </c>
      <c r="K397" s="278" t="s">
        <v>205</v>
      </c>
      <c r="L397" s="274" t="s">
        <v>155</v>
      </c>
      <c r="M397" s="270"/>
      <c r="N397" s="270"/>
      <c r="O397" s="270"/>
    </row>
    <row r="398" spans="1:15" hidden="1">
      <c r="A398" s="280">
        <v>45720</v>
      </c>
      <c r="B398" s="270" t="s">
        <v>1084</v>
      </c>
      <c r="C398" s="276" t="s">
        <v>175</v>
      </c>
      <c r="D398" s="270" t="s">
        <v>118</v>
      </c>
      <c r="E398" s="281">
        <v>9900</v>
      </c>
      <c r="F398" s="272">
        <v>17.091036528206253</v>
      </c>
      <c r="G398" s="282">
        <v>579.25099999999998</v>
      </c>
      <c r="H398" s="274" t="s">
        <v>157</v>
      </c>
      <c r="I398" s="274" t="s">
        <v>1277</v>
      </c>
      <c r="J398" s="274" t="s">
        <v>98</v>
      </c>
      <c r="K398" s="278" t="s">
        <v>205</v>
      </c>
      <c r="L398" s="274" t="s">
        <v>155</v>
      </c>
      <c r="M398" s="270"/>
      <c r="N398" s="270"/>
      <c r="O398" s="270"/>
    </row>
    <row r="399" spans="1:15" hidden="1">
      <c r="A399" s="280">
        <v>45720</v>
      </c>
      <c r="B399" s="270" t="s">
        <v>904</v>
      </c>
      <c r="C399" s="270" t="s">
        <v>127</v>
      </c>
      <c r="D399" s="270" t="s">
        <v>118</v>
      </c>
      <c r="E399" s="281">
        <v>131428</v>
      </c>
      <c r="F399" s="272">
        <v>226.89300493223146</v>
      </c>
      <c r="G399" s="282">
        <v>579.25099999999998</v>
      </c>
      <c r="H399" s="274" t="s">
        <v>157</v>
      </c>
      <c r="I399" s="274" t="s">
        <v>948</v>
      </c>
      <c r="J399" s="274" t="s">
        <v>98</v>
      </c>
      <c r="K399" s="278" t="s">
        <v>205</v>
      </c>
      <c r="L399" s="274" t="s">
        <v>155</v>
      </c>
      <c r="M399" s="270"/>
      <c r="N399" s="270"/>
      <c r="O399" s="270"/>
    </row>
    <row r="400" spans="1:15" hidden="1">
      <c r="A400" s="280">
        <v>45720</v>
      </c>
      <c r="B400" s="270" t="s">
        <v>908</v>
      </c>
      <c r="C400" s="276" t="s">
        <v>175</v>
      </c>
      <c r="D400" s="271" t="s">
        <v>117</v>
      </c>
      <c r="E400" s="281">
        <v>20000</v>
      </c>
      <c r="F400" s="272">
        <v>34.527346521628793</v>
      </c>
      <c r="G400" s="282">
        <v>579.25099999999998</v>
      </c>
      <c r="H400" s="274" t="s">
        <v>157</v>
      </c>
      <c r="I400" s="274" t="s">
        <v>953</v>
      </c>
      <c r="J400" s="274" t="s">
        <v>98</v>
      </c>
      <c r="K400" s="278" t="s">
        <v>205</v>
      </c>
      <c r="L400" s="274" t="s">
        <v>155</v>
      </c>
      <c r="M400" s="270"/>
      <c r="N400" s="270"/>
      <c r="O400" s="270"/>
    </row>
    <row r="401" spans="1:15" hidden="1">
      <c r="A401" s="280">
        <v>45720</v>
      </c>
      <c r="B401" s="270" t="s">
        <v>909</v>
      </c>
      <c r="C401" s="276" t="s">
        <v>179</v>
      </c>
      <c r="D401" s="271" t="s">
        <v>117</v>
      </c>
      <c r="E401" s="281">
        <v>50000</v>
      </c>
      <c r="F401" s="272">
        <v>86.318366304071986</v>
      </c>
      <c r="G401" s="282">
        <v>579.25099999999998</v>
      </c>
      <c r="H401" s="274" t="s">
        <v>157</v>
      </c>
      <c r="I401" s="274" t="s">
        <v>954</v>
      </c>
      <c r="J401" s="274" t="s">
        <v>98</v>
      </c>
      <c r="K401" s="278" t="s">
        <v>205</v>
      </c>
      <c r="L401" s="274" t="s">
        <v>155</v>
      </c>
      <c r="M401" s="270"/>
      <c r="N401" s="270"/>
      <c r="O401" s="270"/>
    </row>
    <row r="402" spans="1:15" hidden="1">
      <c r="A402" s="280">
        <v>45720</v>
      </c>
      <c r="B402" s="270" t="s">
        <v>620</v>
      </c>
      <c r="C402" s="270" t="s">
        <v>127</v>
      </c>
      <c r="D402" s="271" t="s">
        <v>117</v>
      </c>
      <c r="E402" s="281">
        <v>30000</v>
      </c>
      <c r="F402" s="272">
        <v>51.791019782443193</v>
      </c>
      <c r="G402" s="282">
        <v>579.25099999999998</v>
      </c>
      <c r="H402" s="274" t="s">
        <v>157</v>
      </c>
      <c r="I402" s="274" t="s">
        <v>1002</v>
      </c>
      <c r="J402" s="274" t="s">
        <v>98</v>
      </c>
      <c r="K402" s="278" t="s">
        <v>205</v>
      </c>
      <c r="L402" s="274" t="s">
        <v>155</v>
      </c>
      <c r="M402" s="270"/>
      <c r="N402" s="270"/>
      <c r="O402" s="270"/>
    </row>
    <row r="403" spans="1:15" hidden="1">
      <c r="A403" s="280">
        <v>45720</v>
      </c>
      <c r="B403" s="270" t="s">
        <v>910</v>
      </c>
      <c r="C403" s="270" t="s">
        <v>272</v>
      </c>
      <c r="D403" s="270" t="s">
        <v>2343</v>
      </c>
      <c r="E403" s="281">
        <v>50000</v>
      </c>
      <c r="F403" s="272">
        <v>86.318366304071986</v>
      </c>
      <c r="G403" s="282">
        <v>579.25099999999998</v>
      </c>
      <c r="H403" s="274" t="s">
        <v>157</v>
      </c>
      <c r="I403" s="274" t="s">
        <v>1003</v>
      </c>
      <c r="J403" s="274" t="s">
        <v>98</v>
      </c>
      <c r="K403" s="278" t="s">
        <v>205</v>
      </c>
      <c r="L403" s="274" t="s">
        <v>155</v>
      </c>
      <c r="M403" s="270"/>
      <c r="N403" s="270"/>
      <c r="O403" s="270"/>
    </row>
    <row r="404" spans="1:15" hidden="1">
      <c r="A404" s="280">
        <v>45720</v>
      </c>
      <c r="B404" s="270" t="s">
        <v>906</v>
      </c>
      <c r="C404" s="277" t="s">
        <v>2342</v>
      </c>
      <c r="D404" s="270" t="s">
        <v>118</v>
      </c>
      <c r="E404" s="281">
        <v>8700</v>
      </c>
      <c r="F404" s="272">
        <v>15.019395736908526</v>
      </c>
      <c r="G404" s="282">
        <v>579.25099999999998</v>
      </c>
      <c r="H404" s="274" t="s">
        <v>643</v>
      </c>
      <c r="I404" s="274" t="s">
        <v>951</v>
      </c>
      <c r="J404" s="274" t="s">
        <v>98</v>
      </c>
      <c r="K404" s="278" t="s">
        <v>205</v>
      </c>
      <c r="L404" s="274" t="s">
        <v>155</v>
      </c>
      <c r="M404" s="270"/>
      <c r="N404" s="270"/>
      <c r="O404" s="270"/>
    </row>
    <row r="405" spans="1:15" hidden="1">
      <c r="A405" s="280">
        <v>45720</v>
      </c>
      <c r="B405" s="270" t="s">
        <v>907</v>
      </c>
      <c r="C405" s="276" t="s">
        <v>179</v>
      </c>
      <c r="D405" s="271" t="s">
        <v>117</v>
      </c>
      <c r="E405" s="281">
        <v>100000</v>
      </c>
      <c r="F405" s="272">
        <v>172.63673260814397</v>
      </c>
      <c r="G405" s="282">
        <v>579.25099999999998</v>
      </c>
      <c r="H405" s="274" t="s">
        <v>643</v>
      </c>
      <c r="I405" s="274" t="s">
        <v>952</v>
      </c>
      <c r="J405" s="274" t="s">
        <v>98</v>
      </c>
      <c r="K405" s="278" t="s">
        <v>205</v>
      </c>
      <c r="L405" s="274" t="s">
        <v>155</v>
      </c>
      <c r="M405" s="270"/>
      <c r="N405" s="270"/>
      <c r="O405" s="270"/>
    </row>
    <row r="406" spans="1:15" hidden="1">
      <c r="A406" s="280">
        <v>45720</v>
      </c>
      <c r="B406" s="270" t="s">
        <v>1109</v>
      </c>
      <c r="C406" s="270" t="s">
        <v>127</v>
      </c>
      <c r="D406" s="271" t="s">
        <v>1110</v>
      </c>
      <c r="E406" s="281">
        <v>65000</v>
      </c>
      <c r="F406" s="272">
        <v>112.21387619529358</v>
      </c>
      <c r="G406" s="282">
        <v>579.25099999999998</v>
      </c>
      <c r="H406" s="274" t="s">
        <v>176</v>
      </c>
      <c r="I406" s="274" t="s">
        <v>1111</v>
      </c>
      <c r="J406" s="274" t="s">
        <v>98</v>
      </c>
      <c r="K406" s="278" t="s">
        <v>205</v>
      </c>
      <c r="L406" s="274" t="s">
        <v>155</v>
      </c>
      <c r="M406" s="270"/>
      <c r="N406" s="270"/>
      <c r="O406" s="270"/>
    </row>
    <row r="407" spans="1:15" hidden="1">
      <c r="A407" s="280">
        <v>45720</v>
      </c>
      <c r="B407" s="270" t="s">
        <v>1306</v>
      </c>
      <c r="C407" s="276" t="s">
        <v>179</v>
      </c>
      <c r="D407" s="271" t="s">
        <v>117</v>
      </c>
      <c r="E407" s="281">
        <v>40000</v>
      </c>
      <c r="F407" s="272">
        <v>69.054693043257586</v>
      </c>
      <c r="G407" s="282">
        <v>579.25099999999998</v>
      </c>
      <c r="H407" s="274" t="s">
        <v>190</v>
      </c>
      <c r="I407" s="274" t="s">
        <v>1195</v>
      </c>
      <c r="J407" s="274" t="s">
        <v>98</v>
      </c>
      <c r="K407" s="278" t="s">
        <v>205</v>
      </c>
      <c r="L407" s="274" t="s">
        <v>155</v>
      </c>
      <c r="M407" s="270"/>
      <c r="N407" s="270"/>
      <c r="O407" s="270"/>
    </row>
    <row r="408" spans="1:15" hidden="1">
      <c r="A408" s="280">
        <v>45720</v>
      </c>
      <c r="B408" s="270" t="s">
        <v>905</v>
      </c>
      <c r="C408" s="277" t="s">
        <v>2342</v>
      </c>
      <c r="D408" s="270" t="s">
        <v>118</v>
      </c>
      <c r="E408" s="281">
        <v>1952</v>
      </c>
      <c r="F408" s="272">
        <v>3.3698690205109703</v>
      </c>
      <c r="G408" s="282">
        <v>579.25099999999998</v>
      </c>
      <c r="H408" s="274" t="s">
        <v>196</v>
      </c>
      <c r="I408" s="274" t="s">
        <v>950</v>
      </c>
      <c r="J408" s="274" t="s">
        <v>98</v>
      </c>
      <c r="K408" s="278" t="s">
        <v>205</v>
      </c>
      <c r="L408" s="284" t="s">
        <v>155</v>
      </c>
      <c r="M408" s="270"/>
      <c r="N408" s="270"/>
      <c r="O408" s="270"/>
    </row>
    <row r="409" spans="1:15" hidden="1">
      <c r="A409" s="280">
        <v>45720</v>
      </c>
      <c r="B409" s="270" t="s">
        <v>903</v>
      </c>
      <c r="C409" s="276" t="s">
        <v>2344</v>
      </c>
      <c r="D409" s="270" t="s">
        <v>120</v>
      </c>
      <c r="E409" s="281">
        <v>148000</v>
      </c>
      <c r="F409" s="272">
        <v>255.50236426005307</v>
      </c>
      <c r="G409" s="282">
        <v>579.25099999999998</v>
      </c>
      <c r="H409" s="274" t="s">
        <v>217</v>
      </c>
      <c r="I409" s="274" t="s">
        <v>1001</v>
      </c>
      <c r="J409" s="274" t="s">
        <v>98</v>
      </c>
      <c r="K409" s="278" t="s">
        <v>205</v>
      </c>
      <c r="L409" s="274" t="s">
        <v>155</v>
      </c>
      <c r="M409" s="270"/>
      <c r="N409" s="270"/>
      <c r="O409" s="270"/>
    </row>
    <row r="410" spans="1:15" hidden="1">
      <c r="A410" s="280">
        <v>45721</v>
      </c>
      <c r="B410" s="270" t="s">
        <v>1261</v>
      </c>
      <c r="C410" s="276" t="s">
        <v>179</v>
      </c>
      <c r="D410" s="271" t="s">
        <v>117</v>
      </c>
      <c r="E410" s="281">
        <v>30000</v>
      </c>
      <c r="F410" s="272">
        <v>51.791019782443193</v>
      </c>
      <c r="G410" s="282">
        <v>579.25099999999998</v>
      </c>
      <c r="H410" s="274" t="s">
        <v>203</v>
      </c>
      <c r="I410" s="274" t="s">
        <v>1262</v>
      </c>
      <c r="J410" s="274" t="s">
        <v>98</v>
      </c>
      <c r="K410" s="278" t="s">
        <v>205</v>
      </c>
      <c r="L410" s="274" t="s">
        <v>155</v>
      </c>
      <c r="M410" s="270"/>
      <c r="N410" s="270"/>
      <c r="O410" s="270"/>
    </row>
    <row r="411" spans="1:15" hidden="1">
      <c r="A411" s="280">
        <v>45722</v>
      </c>
      <c r="B411" s="270" t="s">
        <v>2347</v>
      </c>
      <c r="C411" s="270" t="s">
        <v>127</v>
      </c>
      <c r="D411" s="270" t="s">
        <v>119</v>
      </c>
      <c r="E411" s="281">
        <v>174625</v>
      </c>
      <c r="F411" s="272">
        <v>301.46689431697143</v>
      </c>
      <c r="G411" s="282">
        <v>579.25099999999998</v>
      </c>
      <c r="H411" s="274" t="s">
        <v>153</v>
      </c>
      <c r="I411" s="274" t="s">
        <v>1078</v>
      </c>
      <c r="J411" s="274" t="s">
        <v>98</v>
      </c>
      <c r="K411" s="278" t="s">
        <v>205</v>
      </c>
      <c r="L411" s="274" t="s">
        <v>155</v>
      </c>
      <c r="M411" s="270"/>
      <c r="N411" s="270"/>
      <c r="O411" s="270"/>
    </row>
    <row r="412" spans="1:15" hidden="1">
      <c r="A412" s="280">
        <v>45722</v>
      </c>
      <c r="B412" s="270" t="s">
        <v>644</v>
      </c>
      <c r="C412" s="276" t="s">
        <v>403</v>
      </c>
      <c r="D412" s="271" t="s">
        <v>502</v>
      </c>
      <c r="E412" s="281">
        <v>30000</v>
      </c>
      <c r="F412" s="272">
        <v>51.791019782443193</v>
      </c>
      <c r="G412" s="282">
        <v>579.25099999999998</v>
      </c>
      <c r="H412" s="274" t="s">
        <v>153</v>
      </c>
      <c r="I412" s="274" t="s">
        <v>955</v>
      </c>
      <c r="J412" s="274" t="s">
        <v>98</v>
      </c>
      <c r="K412" s="278" t="s">
        <v>205</v>
      </c>
      <c r="L412" s="274" t="s">
        <v>155</v>
      </c>
      <c r="M412" s="270"/>
      <c r="N412" s="270"/>
      <c r="O412" s="270"/>
    </row>
    <row r="413" spans="1:15" hidden="1">
      <c r="A413" s="280">
        <v>45722</v>
      </c>
      <c r="B413" s="270" t="s">
        <v>1184</v>
      </c>
      <c r="C413" s="276" t="s">
        <v>175</v>
      </c>
      <c r="D413" s="271" t="s">
        <v>502</v>
      </c>
      <c r="E413" s="281">
        <v>7000</v>
      </c>
      <c r="F413" s="272">
        <v>12.084571282570078</v>
      </c>
      <c r="G413" s="282">
        <v>579.25099999999998</v>
      </c>
      <c r="H413" s="274" t="s">
        <v>343</v>
      </c>
      <c r="I413" s="274" t="s">
        <v>1185</v>
      </c>
      <c r="J413" s="274" t="s">
        <v>98</v>
      </c>
      <c r="K413" s="278" t="s">
        <v>205</v>
      </c>
      <c r="L413" s="274" t="s">
        <v>155</v>
      </c>
      <c r="M413" s="270"/>
      <c r="N413" s="270"/>
      <c r="O413" s="270"/>
    </row>
    <row r="414" spans="1:15" hidden="1">
      <c r="A414" s="280">
        <v>45722</v>
      </c>
      <c r="B414" s="270" t="s">
        <v>911</v>
      </c>
      <c r="C414" s="277" t="s">
        <v>2342</v>
      </c>
      <c r="D414" s="270" t="s">
        <v>118</v>
      </c>
      <c r="E414" s="281">
        <v>1952</v>
      </c>
      <c r="F414" s="272">
        <v>3.3698690205109703</v>
      </c>
      <c r="G414" s="282">
        <v>579.25099999999998</v>
      </c>
      <c r="H414" s="274" t="s">
        <v>196</v>
      </c>
      <c r="I414" s="274" t="s">
        <v>956</v>
      </c>
      <c r="J414" s="274" t="s">
        <v>98</v>
      </c>
      <c r="K414" s="278" t="s">
        <v>205</v>
      </c>
      <c r="L414" s="274" t="s">
        <v>155</v>
      </c>
      <c r="M414" s="270"/>
      <c r="N414" s="270"/>
      <c r="O414" s="270"/>
    </row>
    <row r="415" spans="1:15" hidden="1">
      <c r="A415" s="280">
        <v>45723</v>
      </c>
      <c r="B415" s="270" t="s">
        <v>1302</v>
      </c>
      <c r="C415" s="270" t="s">
        <v>317</v>
      </c>
      <c r="D415" s="270" t="s">
        <v>118</v>
      </c>
      <c r="E415" s="281">
        <v>20000</v>
      </c>
      <c r="F415" s="272">
        <v>34.527346521628793</v>
      </c>
      <c r="G415" s="282">
        <v>579.25099999999998</v>
      </c>
      <c r="H415" s="274" t="s">
        <v>153</v>
      </c>
      <c r="I415" s="274" t="s">
        <v>957</v>
      </c>
      <c r="J415" s="274" t="s">
        <v>98</v>
      </c>
      <c r="K415" s="278" t="s">
        <v>205</v>
      </c>
      <c r="L415" s="274" t="s">
        <v>155</v>
      </c>
      <c r="M415" s="270"/>
      <c r="N415" s="270"/>
      <c r="O415" s="270"/>
    </row>
    <row r="416" spans="1:15" hidden="1">
      <c r="A416" s="280">
        <v>45723</v>
      </c>
      <c r="B416" s="270" t="s">
        <v>1307</v>
      </c>
      <c r="C416" s="276" t="s">
        <v>179</v>
      </c>
      <c r="D416" s="271" t="s">
        <v>502</v>
      </c>
      <c r="E416" s="281">
        <v>170000</v>
      </c>
      <c r="F416" s="272">
        <v>293.48244543384476</v>
      </c>
      <c r="G416" s="282">
        <v>579.25099999999998</v>
      </c>
      <c r="H416" s="274" t="s">
        <v>343</v>
      </c>
      <c r="I416" s="274" t="s">
        <v>1186</v>
      </c>
      <c r="J416" s="274" t="s">
        <v>98</v>
      </c>
      <c r="K416" s="278" t="s">
        <v>205</v>
      </c>
      <c r="L416" s="274" t="s">
        <v>155</v>
      </c>
      <c r="M416" s="270"/>
      <c r="N416" s="270"/>
      <c r="O416" s="270"/>
    </row>
    <row r="417" spans="1:15" hidden="1">
      <c r="A417" s="304">
        <v>45723</v>
      </c>
      <c r="B417" s="270" t="s">
        <v>1021</v>
      </c>
      <c r="C417" s="270" t="s">
        <v>125</v>
      </c>
      <c r="D417" s="270"/>
      <c r="E417" s="305"/>
      <c r="F417" s="306">
        <f t="shared" ref="F417:F418" si="0">+E417/G417</f>
        <v>0</v>
      </c>
      <c r="G417" s="307">
        <v>579.64599999999996</v>
      </c>
      <c r="H417" s="270" t="s">
        <v>148</v>
      </c>
      <c r="I417" s="270" t="s">
        <v>1046</v>
      </c>
      <c r="J417" s="270" t="s">
        <v>98</v>
      </c>
      <c r="K417" s="270" t="s">
        <v>205</v>
      </c>
      <c r="L417" s="270" t="s">
        <v>155</v>
      </c>
      <c r="M417" s="311">
        <v>17389380</v>
      </c>
      <c r="N417" s="312">
        <v>30000</v>
      </c>
      <c r="O417" s="270"/>
    </row>
    <row r="418" spans="1:15" hidden="1">
      <c r="A418" s="304">
        <v>45723</v>
      </c>
      <c r="B418" s="270" t="s">
        <v>1022</v>
      </c>
      <c r="C418" s="270" t="s">
        <v>125</v>
      </c>
      <c r="D418" s="270"/>
      <c r="E418" s="305"/>
      <c r="F418" s="306">
        <f t="shared" si="0"/>
        <v>0</v>
      </c>
      <c r="G418" s="270">
        <v>579.64599999999996</v>
      </c>
      <c r="H418" s="270" t="s">
        <v>148</v>
      </c>
      <c r="I418" s="270" t="s">
        <v>1047</v>
      </c>
      <c r="J418" s="270" t="s">
        <v>98</v>
      </c>
      <c r="K418" s="270" t="s">
        <v>1285</v>
      </c>
      <c r="L418" s="270" t="s">
        <v>155</v>
      </c>
      <c r="M418" s="311">
        <v>2898230</v>
      </c>
      <c r="N418" s="312">
        <v>5000</v>
      </c>
      <c r="O418" s="270"/>
    </row>
    <row r="419" spans="1:15" hidden="1">
      <c r="A419" s="280">
        <v>45724</v>
      </c>
      <c r="B419" s="270" t="s">
        <v>1263</v>
      </c>
      <c r="C419" s="276" t="s">
        <v>179</v>
      </c>
      <c r="D419" s="271" t="s">
        <v>117</v>
      </c>
      <c r="E419" s="281">
        <v>105000</v>
      </c>
      <c r="F419" s="272">
        <v>181.14504369908531</v>
      </c>
      <c r="G419" s="282">
        <v>579.64599999999996</v>
      </c>
      <c r="H419" s="274" t="s">
        <v>203</v>
      </c>
      <c r="I419" s="274" t="s">
        <v>1287</v>
      </c>
      <c r="J419" s="274" t="s">
        <v>98</v>
      </c>
      <c r="K419" s="278" t="s">
        <v>205</v>
      </c>
      <c r="L419" s="274" t="s">
        <v>155</v>
      </c>
      <c r="M419" s="270"/>
      <c r="N419" s="270"/>
      <c r="O419" s="270"/>
    </row>
    <row r="420" spans="1:15" hidden="1">
      <c r="A420" s="280">
        <v>45724</v>
      </c>
      <c r="B420" s="270" t="s">
        <v>1264</v>
      </c>
      <c r="C420" s="276" t="s">
        <v>175</v>
      </c>
      <c r="D420" s="271" t="s">
        <v>117</v>
      </c>
      <c r="E420" s="281">
        <v>7000</v>
      </c>
      <c r="F420" s="272">
        <v>12.076336246605688</v>
      </c>
      <c r="G420" s="282">
        <v>579.64599999999996</v>
      </c>
      <c r="H420" s="274" t="s">
        <v>203</v>
      </c>
      <c r="I420" s="274" t="s">
        <v>1288</v>
      </c>
      <c r="J420" s="274" t="s">
        <v>98</v>
      </c>
      <c r="K420" s="278" t="s">
        <v>205</v>
      </c>
      <c r="L420" s="274" t="s">
        <v>155</v>
      </c>
      <c r="M420" s="270"/>
      <c r="N420" s="270"/>
      <c r="O420" s="270"/>
    </row>
    <row r="421" spans="1:15" hidden="1">
      <c r="A421" s="280">
        <v>45724</v>
      </c>
      <c r="B421" s="270" t="s">
        <v>1308</v>
      </c>
      <c r="C421" s="276" t="s">
        <v>179</v>
      </c>
      <c r="D421" s="271" t="s">
        <v>117</v>
      </c>
      <c r="E421" s="281">
        <v>165000</v>
      </c>
      <c r="F421" s="272">
        <v>284.6564972414198</v>
      </c>
      <c r="G421" s="282">
        <v>579.64599999999996</v>
      </c>
      <c r="H421" s="274" t="s">
        <v>190</v>
      </c>
      <c r="I421" s="274" t="s">
        <v>1196</v>
      </c>
      <c r="J421" s="274" t="s">
        <v>98</v>
      </c>
      <c r="K421" s="278" t="s">
        <v>205</v>
      </c>
      <c r="L421" s="274" t="s">
        <v>155</v>
      </c>
      <c r="M421" s="270"/>
      <c r="N421" s="270"/>
      <c r="O421" s="270"/>
    </row>
    <row r="422" spans="1:15" hidden="1">
      <c r="A422" s="280">
        <v>45726</v>
      </c>
      <c r="B422" s="270" t="s">
        <v>912</v>
      </c>
      <c r="C422" s="270" t="s">
        <v>127</v>
      </c>
      <c r="D422" s="271" t="s">
        <v>117</v>
      </c>
      <c r="E422" s="281">
        <v>30000</v>
      </c>
      <c r="F422" s="272">
        <v>51.755726771167232</v>
      </c>
      <c r="G422" s="282">
        <v>579.64599999999996</v>
      </c>
      <c r="H422" s="274" t="s">
        <v>157</v>
      </c>
      <c r="I422" s="274" t="s">
        <v>1004</v>
      </c>
      <c r="J422" s="274" t="s">
        <v>98</v>
      </c>
      <c r="K422" s="278" t="s">
        <v>205</v>
      </c>
      <c r="L422" s="274" t="s">
        <v>155</v>
      </c>
      <c r="M422" s="270"/>
      <c r="N422" s="270"/>
      <c r="O422" s="270"/>
    </row>
    <row r="423" spans="1:15" hidden="1">
      <c r="A423" s="280">
        <v>45726</v>
      </c>
      <c r="B423" s="270" t="s">
        <v>913</v>
      </c>
      <c r="C423" s="270" t="s">
        <v>272</v>
      </c>
      <c r="D423" s="270" t="s">
        <v>2343</v>
      </c>
      <c r="E423" s="281">
        <v>45000</v>
      </c>
      <c r="F423" s="272">
        <v>77.633590156750856</v>
      </c>
      <c r="G423" s="282">
        <v>579.64599999999996</v>
      </c>
      <c r="H423" s="274" t="s">
        <v>157</v>
      </c>
      <c r="I423" s="274" t="s">
        <v>1005</v>
      </c>
      <c r="J423" s="274" t="s">
        <v>98</v>
      </c>
      <c r="K423" s="278" t="s">
        <v>205</v>
      </c>
      <c r="L423" s="274" t="s">
        <v>155</v>
      </c>
      <c r="M423" s="270"/>
      <c r="N423" s="270"/>
      <c r="O423" s="270"/>
    </row>
    <row r="424" spans="1:15" hidden="1">
      <c r="A424" s="280">
        <v>45726</v>
      </c>
      <c r="B424" s="270" t="s">
        <v>1086</v>
      </c>
      <c r="C424" s="276" t="s">
        <v>175</v>
      </c>
      <c r="D424" s="271" t="s">
        <v>502</v>
      </c>
      <c r="E424" s="281">
        <v>10000</v>
      </c>
      <c r="F424" s="272">
        <v>17.251908923722411</v>
      </c>
      <c r="G424" s="282">
        <v>579.64599999999996</v>
      </c>
      <c r="H424" s="274" t="s">
        <v>187</v>
      </c>
      <c r="I424" s="274" t="s">
        <v>1087</v>
      </c>
      <c r="J424" s="274" t="s">
        <v>98</v>
      </c>
      <c r="K424" s="278" t="s">
        <v>205</v>
      </c>
      <c r="L424" s="274" t="s">
        <v>155</v>
      </c>
      <c r="M424" s="270"/>
      <c r="N424" s="270"/>
      <c r="O424" s="270"/>
    </row>
    <row r="425" spans="1:15" hidden="1">
      <c r="A425" s="280">
        <v>45726</v>
      </c>
      <c r="B425" s="270" t="s">
        <v>1319</v>
      </c>
      <c r="C425" s="276" t="s">
        <v>403</v>
      </c>
      <c r="D425" s="271" t="s">
        <v>502</v>
      </c>
      <c r="E425" s="281">
        <v>16000</v>
      </c>
      <c r="F425" s="272">
        <v>27.603054277955859</v>
      </c>
      <c r="G425" s="282">
        <v>579.64599999999996</v>
      </c>
      <c r="H425" s="274" t="s">
        <v>343</v>
      </c>
      <c r="I425" s="274" t="s">
        <v>1187</v>
      </c>
      <c r="J425" s="274" t="s">
        <v>98</v>
      </c>
      <c r="K425" s="278" t="s">
        <v>205</v>
      </c>
      <c r="L425" s="274" t="s">
        <v>155</v>
      </c>
      <c r="M425" s="270"/>
      <c r="N425" s="270"/>
      <c r="O425" s="270"/>
    </row>
    <row r="426" spans="1:15" hidden="1">
      <c r="A426" s="280">
        <v>45726</v>
      </c>
      <c r="B426" s="270" t="s">
        <v>614</v>
      </c>
      <c r="C426" s="277" t="s">
        <v>2342</v>
      </c>
      <c r="D426" s="270" t="s">
        <v>118</v>
      </c>
      <c r="E426" s="281">
        <v>4170</v>
      </c>
      <c r="F426" s="272">
        <v>7.1940460211922455</v>
      </c>
      <c r="G426" s="282">
        <v>579.64599999999996</v>
      </c>
      <c r="H426" s="274" t="s">
        <v>196</v>
      </c>
      <c r="I426" s="274" t="s">
        <v>958</v>
      </c>
      <c r="J426" s="274" t="s">
        <v>98</v>
      </c>
      <c r="K426" s="278" t="s">
        <v>205</v>
      </c>
      <c r="L426" s="274" t="s">
        <v>155</v>
      </c>
      <c r="M426" s="270"/>
      <c r="N426" s="270"/>
      <c r="O426" s="270"/>
    </row>
    <row r="427" spans="1:15" hidden="1">
      <c r="A427" s="280">
        <v>45726</v>
      </c>
      <c r="B427" s="270" t="s">
        <v>1023</v>
      </c>
      <c r="C427" s="270" t="s">
        <v>123</v>
      </c>
      <c r="D427" s="271" t="s">
        <v>117</v>
      </c>
      <c r="E427" s="281">
        <v>150000</v>
      </c>
      <c r="F427" s="272">
        <v>258.77863385583618</v>
      </c>
      <c r="G427" s="282">
        <v>579.64599999999996</v>
      </c>
      <c r="H427" s="274" t="s">
        <v>148</v>
      </c>
      <c r="I427" s="274" t="s">
        <v>1063</v>
      </c>
      <c r="J427" s="274" t="s">
        <v>98</v>
      </c>
      <c r="K427" s="278" t="s">
        <v>205</v>
      </c>
      <c r="L427" s="274" t="s">
        <v>155</v>
      </c>
      <c r="M427" s="270"/>
      <c r="N427" s="270"/>
      <c r="O427" s="270"/>
    </row>
    <row r="428" spans="1:15" hidden="1">
      <c r="A428" s="280">
        <v>45726</v>
      </c>
      <c r="B428" s="270" t="s">
        <v>1024</v>
      </c>
      <c r="C428" s="270" t="s">
        <v>123</v>
      </c>
      <c r="D428" s="271" t="s">
        <v>117</v>
      </c>
      <c r="E428" s="281">
        <v>150000</v>
      </c>
      <c r="F428" s="272">
        <v>258.77863385583618</v>
      </c>
      <c r="G428" s="282">
        <v>579.64599999999996</v>
      </c>
      <c r="H428" s="274" t="s">
        <v>148</v>
      </c>
      <c r="I428" s="274" t="s">
        <v>1064</v>
      </c>
      <c r="J428" s="274" t="s">
        <v>98</v>
      </c>
      <c r="K428" s="278" t="s">
        <v>205</v>
      </c>
      <c r="L428" s="274" t="s">
        <v>155</v>
      </c>
      <c r="M428" s="270"/>
      <c r="N428" s="270"/>
      <c r="O428" s="270"/>
    </row>
    <row r="429" spans="1:15" hidden="1">
      <c r="A429" s="280">
        <v>45726</v>
      </c>
      <c r="B429" s="270" t="s">
        <v>1025</v>
      </c>
      <c r="C429" s="270" t="s">
        <v>127</v>
      </c>
      <c r="D429" s="270" t="s">
        <v>119</v>
      </c>
      <c r="E429" s="281">
        <v>1311000</v>
      </c>
      <c r="F429" s="272">
        <v>2261.725259900008</v>
      </c>
      <c r="G429" s="282">
        <v>579.64599999999996</v>
      </c>
      <c r="H429" s="274" t="s">
        <v>148</v>
      </c>
      <c r="I429" s="274" t="s">
        <v>1065</v>
      </c>
      <c r="J429" s="274" t="s">
        <v>98</v>
      </c>
      <c r="K429" s="278" t="s">
        <v>205</v>
      </c>
      <c r="L429" s="274" t="s">
        <v>155</v>
      </c>
      <c r="M429" s="270"/>
      <c r="N429" s="270"/>
      <c r="O429" s="270"/>
    </row>
    <row r="430" spans="1:15" hidden="1">
      <c r="A430" s="280">
        <v>45727</v>
      </c>
      <c r="B430" s="270" t="s">
        <v>915</v>
      </c>
      <c r="C430" s="270" t="s">
        <v>127</v>
      </c>
      <c r="D430" s="271" t="s">
        <v>1110</v>
      </c>
      <c r="E430" s="281">
        <v>112000</v>
      </c>
      <c r="F430" s="272">
        <v>193.22137994569101</v>
      </c>
      <c r="G430" s="282">
        <v>579.64599999999996</v>
      </c>
      <c r="H430" s="274" t="s">
        <v>643</v>
      </c>
      <c r="I430" s="274" t="s">
        <v>960</v>
      </c>
      <c r="J430" s="274" t="s">
        <v>98</v>
      </c>
      <c r="K430" s="278" t="s">
        <v>205</v>
      </c>
      <c r="L430" s="274" t="s">
        <v>155</v>
      </c>
      <c r="M430" s="270"/>
      <c r="N430" s="270"/>
      <c r="O430" s="270"/>
    </row>
    <row r="431" spans="1:15" hidden="1">
      <c r="A431" s="280">
        <v>45727</v>
      </c>
      <c r="B431" s="270" t="s">
        <v>1088</v>
      </c>
      <c r="C431" s="276" t="s">
        <v>179</v>
      </c>
      <c r="D431" s="271" t="s">
        <v>502</v>
      </c>
      <c r="E431" s="281">
        <v>130000</v>
      </c>
      <c r="F431" s="272">
        <v>224.27481600839135</v>
      </c>
      <c r="G431" s="273">
        <v>579.64599999999996</v>
      </c>
      <c r="H431" s="274" t="s">
        <v>187</v>
      </c>
      <c r="I431" s="274" t="s">
        <v>1089</v>
      </c>
      <c r="J431" s="274" t="s">
        <v>98</v>
      </c>
      <c r="K431" s="274" t="s">
        <v>1285</v>
      </c>
      <c r="L431" s="274" t="s">
        <v>155</v>
      </c>
      <c r="M431" s="270"/>
      <c r="N431" s="270"/>
      <c r="O431" s="270"/>
    </row>
    <row r="432" spans="1:15" hidden="1">
      <c r="A432" s="280">
        <v>45727</v>
      </c>
      <c r="B432" s="270" t="s">
        <v>1303</v>
      </c>
      <c r="C432" s="276" t="s">
        <v>179</v>
      </c>
      <c r="D432" s="271" t="s">
        <v>502</v>
      </c>
      <c r="E432" s="281">
        <v>70000</v>
      </c>
      <c r="F432" s="272">
        <v>120.76336246605688</v>
      </c>
      <c r="G432" s="273">
        <v>579.64599999999996</v>
      </c>
      <c r="H432" s="274" t="s">
        <v>176</v>
      </c>
      <c r="I432" s="274" t="s">
        <v>1112</v>
      </c>
      <c r="J432" s="274" t="s">
        <v>98</v>
      </c>
      <c r="K432" s="274" t="s">
        <v>1285</v>
      </c>
      <c r="L432" s="274" t="s">
        <v>155</v>
      </c>
      <c r="M432" s="270"/>
      <c r="N432" s="270"/>
      <c r="O432" s="270"/>
    </row>
    <row r="433" spans="1:15" hidden="1">
      <c r="A433" s="280">
        <v>45727</v>
      </c>
      <c r="B433" s="270" t="s">
        <v>1113</v>
      </c>
      <c r="C433" s="276" t="s">
        <v>175</v>
      </c>
      <c r="D433" s="271" t="s">
        <v>502</v>
      </c>
      <c r="E433" s="281">
        <v>6000</v>
      </c>
      <c r="F433" s="272">
        <v>10.351145354233447</v>
      </c>
      <c r="G433" s="273">
        <v>579.64599999999996</v>
      </c>
      <c r="H433" s="274" t="s">
        <v>176</v>
      </c>
      <c r="I433" s="274" t="s">
        <v>1114</v>
      </c>
      <c r="J433" s="274" t="s">
        <v>98</v>
      </c>
      <c r="K433" s="274" t="s">
        <v>1285</v>
      </c>
      <c r="L433" s="274" t="s">
        <v>155</v>
      </c>
      <c r="M433" s="270"/>
      <c r="N433" s="270"/>
      <c r="O433" s="270"/>
    </row>
    <row r="434" spans="1:15" hidden="1">
      <c r="A434" s="280">
        <v>45727</v>
      </c>
      <c r="B434" s="270" t="s">
        <v>1158</v>
      </c>
      <c r="C434" s="276" t="s">
        <v>179</v>
      </c>
      <c r="D434" s="271" t="s">
        <v>502</v>
      </c>
      <c r="E434" s="281">
        <v>70000</v>
      </c>
      <c r="F434" s="272">
        <v>120.76336246605688</v>
      </c>
      <c r="G434" s="273">
        <v>579.64599999999996</v>
      </c>
      <c r="H434" s="274" t="s">
        <v>332</v>
      </c>
      <c r="I434" s="274" t="s">
        <v>1159</v>
      </c>
      <c r="J434" s="274" t="s">
        <v>98</v>
      </c>
      <c r="K434" s="274" t="s">
        <v>1285</v>
      </c>
      <c r="L434" s="274" t="s">
        <v>155</v>
      </c>
      <c r="M434" s="270"/>
      <c r="N434" s="270"/>
      <c r="O434" s="270"/>
    </row>
    <row r="435" spans="1:15" hidden="1">
      <c r="A435" s="280">
        <v>45727</v>
      </c>
      <c r="B435" s="270" t="s">
        <v>1160</v>
      </c>
      <c r="C435" s="276" t="s">
        <v>175</v>
      </c>
      <c r="D435" s="271" t="s">
        <v>502</v>
      </c>
      <c r="E435" s="281">
        <v>12000</v>
      </c>
      <c r="F435" s="272">
        <v>20.702290708466894</v>
      </c>
      <c r="G435" s="273">
        <v>579.64599999999996</v>
      </c>
      <c r="H435" s="274" t="s">
        <v>332</v>
      </c>
      <c r="I435" s="274" t="s">
        <v>1161</v>
      </c>
      <c r="J435" s="274" t="s">
        <v>98</v>
      </c>
      <c r="K435" s="274" t="s">
        <v>1285</v>
      </c>
      <c r="L435" s="274" t="s">
        <v>155</v>
      </c>
      <c r="M435" s="270"/>
      <c r="N435" s="270"/>
      <c r="O435" s="270"/>
    </row>
    <row r="436" spans="1:15" hidden="1">
      <c r="A436" s="280">
        <v>45727</v>
      </c>
      <c r="B436" s="270" t="s">
        <v>914</v>
      </c>
      <c r="C436" s="276" t="s">
        <v>126</v>
      </c>
      <c r="D436" s="270" t="s">
        <v>118</v>
      </c>
      <c r="E436" s="281">
        <v>72102</v>
      </c>
      <c r="F436" s="272">
        <v>124.38971372182333</v>
      </c>
      <c r="G436" s="273">
        <v>579.64599999999996</v>
      </c>
      <c r="H436" s="274" t="s">
        <v>196</v>
      </c>
      <c r="I436" s="274" t="s">
        <v>959</v>
      </c>
      <c r="J436" s="274" t="s">
        <v>98</v>
      </c>
      <c r="K436" s="274" t="s">
        <v>1285</v>
      </c>
      <c r="L436" s="274" t="s">
        <v>155</v>
      </c>
      <c r="M436" s="270"/>
      <c r="N436" s="270"/>
      <c r="O436" s="270"/>
    </row>
    <row r="437" spans="1:15" hidden="1">
      <c r="A437" s="304">
        <v>45727</v>
      </c>
      <c r="B437" s="270" t="s">
        <v>1026</v>
      </c>
      <c r="C437" s="270" t="s">
        <v>125</v>
      </c>
      <c r="D437" s="270"/>
      <c r="E437" s="305">
        <v>2107400</v>
      </c>
      <c r="F437" s="306">
        <f t="shared" ref="F437" si="1">+E437/G437</f>
        <v>3635.6672865852611</v>
      </c>
      <c r="G437" s="270">
        <v>579.64599999999996</v>
      </c>
      <c r="H437" s="270" t="s">
        <v>148</v>
      </c>
      <c r="I437" s="270" t="s">
        <v>1048</v>
      </c>
      <c r="J437" s="270" t="s">
        <v>98</v>
      </c>
      <c r="K437" s="270" t="s">
        <v>1284</v>
      </c>
      <c r="L437" s="270" t="s">
        <v>155</v>
      </c>
      <c r="M437" s="303"/>
      <c r="N437" s="270"/>
      <c r="O437" s="270"/>
    </row>
    <row r="438" spans="1:15" hidden="1">
      <c r="A438" s="280">
        <v>45727</v>
      </c>
      <c r="B438" s="270" t="s">
        <v>1027</v>
      </c>
      <c r="C438" s="270" t="s">
        <v>128</v>
      </c>
      <c r="D438" s="270" t="s">
        <v>118</v>
      </c>
      <c r="E438" s="281">
        <v>24268</v>
      </c>
      <c r="F438" s="272">
        <v>41.866932576089546</v>
      </c>
      <c r="G438" s="273">
        <v>579.64599999999996</v>
      </c>
      <c r="H438" s="274" t="s">
        <v>148</v>
      </c>
      <c r="I438" s="274" t="s">
        <v>1066</v>
      </c>
      <c r="J438" s="274" t="s">
        <v>98</v>
      </c>
      <c r="K438" s="274" t="s">
        <v>1285</v>
      </c>
      <c r="L438" s="274" t="s">
        <v>155</v>
      </c>
      <c r="M438" s="270"/>
      <c r="N438" s="270"/>
      <c r="O438" s="270"/>
    </row>
    <row r="439" spans="1:15" hidden="1">
      <c r="A439" s="280">
        <v>45727</v>
      </c>
      <c r="B439" s="270" t="s">
        <v>1028</v>
      </c>
      <c r="C439" s="270" t="s">
        <v>127</v>
      </c>
      <c r="D439" s="270" t="s">
        <v>118</v>
      </c>
      <c r="E439" s="281">
        <v>398693</v>
      </c>
      <c r="F439" s="272">
        <v>687.82153245256598</v>
      </c>
      <c r="G439" s="282">
        <v>579.64599999999996</v>
      </c>
      <c r="H439" s="274" t="s">
        <v>148</v>
      </c>
      <c r="I439" s="274" t="s">
        <v>1067</v>
      </c>
      <c r="J439" s="274" t="s">
        <v>98</v>
      </c>
      <c r="K439" s="278" t="s">
        <v>205</v>
      </c>
      <c r="L439" s="274" t="s">
        <v>155</v>
      </c>
      <c r="M439" s="270"/>
      <c r="N439" s="270"/>
      <c r="O439" s="270"/>
    </row>
    <row r="440" spans="1:15" hidden="1">
      <c r="A440" s="280">
        <v>45727</v>
      </c>
      <c r="B440" s="270" t="s">
        <v>1029</v>
      </c>
      <c r="C440" s="270" t="s">
        <v>128</v>
      </c>
      <c r="D440" s="270" t="s">
        <v>118</v>
      </c>
      <c r="E440" s="281">
        <v>18255</v>
      </c>
      <c r="F440" s="272">
        <v>31.493359740255261</v>
      </c>
      <c r="G440" s="273">
        <v>579.64599999999996</v>
      </c>
      <c r="H440" s="274" t="s">
        <v>148</v>
      </c>
      <c r="I440" s="274" t="s">
        <v>1068</v>
      </c>
      <c r="J440" s="274" t="s">
        <v>98</v>
      </c>
      <c r="K440" s="274" t="s">
        <v>1285</v>
      </c>
      <c r="L440" s="274" t="s">
        <v>155</v>
      </c>
      <c r="M440" s="270"/>
      <c r="N440" s="270"/>
      <c r="O440" s="270"/>
    </row>
    <row r="441" spans="1:15" hidden="1">
      <c r="A441" s="280">
        <v>45728</v>
      </c>
      <c r="B441" s="270" t="s">
        <v>1320</v>
      </c>
      <c r="C441" s="276" t="s">
        <v>1321</v>
      </c>
      <c r="D441" s="270" t="s">
        <v>118</v>
      </c>
      <c r="E441" s="281">
        <v>56550</v>
      </c>
      <c r="F441" s="272">
        <v>97.559544963650239</v>
      </c>
      <c r="G441" s="273">
        <v>579.64599999999996</v>
      </c>
      <c r="H441" s="274" t="s">
        <v>643</v>
      </c>
      <c r="I441" s="274" t="s">
        <v>962</v>
      </c>
      <c r="J441" s="274" t="s">
        <v>98</v>
      </c>
      <c r="K441" s="274" t="s">
        <v>1285</v>
      </c>
      <c r="L441" s="274" t="s">
        <v>155</v>
      </c>
      <c r="M441" s="270"/>
      <c r="N441" s="270"/>
      <c r="O441" s="270"/>
    </row>
    <row r="442" spans="1:15" hidden="1">
      <c r="A442" s="280">
        <v>45728</v>
      </c>
      <c r="B442" s="270" t="s">
        <v>916</v>
      </c>
      <c r="C442" s="270" t="s">
        <v>152</v>
      </c>
      <c r="D442" s="271" t="s">
        <v>117</v>
      </c>
      <c r="E442" s="281">
        <v>15000</v>
      </c>
      <c r="F442" s="272">
        <v>25.877863385583616</v>
      </c>
      <c r="G442" s="273">
        <v>579.64599999999996</v>
      </c>
      <c r="H442" s="274" t="s">
        <v>643</v>
      </c>
      <c r="I442" s="274" t="s">
        <v>963</v>
      </c>
      <c r="J442" s="274" t="s">
        <v>98</v>
      </c>
      <c r="K442" s="274" t="s">
        <v>1285</v>
      </c>
      <c r="L442" s="274" t="s">
        <v>155</v>
      </c>
      <c r="M442" s="270"/>
      <c r="N442" s="270"/>
      <c r="O442" s="270"/>
    </row>
    <row r="443" spans="1:15" hidden="1">
      <c r="A443" s="280">
        <v>45728</v>
      </c>
      <c r="B443" s="270" t="s">
        <v>1115</v>
      </c>
      <c r="C443" s="276" t="s">
        <v>179</v>
      </c>
      <c r="D443" s="271" t="s">
        <v>502</v>
      </c>
      <c r="E443" s="281">
        <v>15000</v>
      </c>
      <c r="F443" s="272">
        <v>25.877863385583616</v>
      </c>
      <c r="G443" s="273">
        <v>579.64599999999996</v>
      </c>
      <c r="H443" s="274" t="s">
        <v>176</v>
      </c>
      <c r="I443" s="274" t="s">
        <v>1116</v>
      </c>
      <c r="J443" s="274" t="s">
        <v>98</v>
      </c>
      <c r="K443" s="274" t="s">
        <v>1285</v>
      </c>
      <c r="L443" s="274" t="s">
        <v>155</v>
      </c>
      <c r="M443" s="270"/>
      <c r="N443" s="270"/>
      <c r="O443" s="270"/>
    </row>
    <row r="444" spans="1:15" hidden="1">
      <c r="A444" s="280">
        <v>45728</v>
      </c>
      <c r="B444" s="270" t="s">
        <v>1117</v>
      </c>
      <c r="C444" s="276" t="s">
        <v>175</v>
      </c>
      <c r="D444" s="271" t="s">
        <v>502</v>
      </c>
      <c r="E444" s="281">
        <v>4000</v>
      </c>
      <c r="F444" s="272">
        <v>6.9007635694889649</v>
      </c>
      <c r="G444" s="273">
        <v>579.64599999999996</v>
      </c>
      <c r="H444" s="274" t="s">
        <v>176</v>
      </c>
      <c r="I444" s="274" t="s">
        <v>1118</v>
      </c>
      <c r="J444" s="274" t="s">
        <v>98</v>
      </c>
      <c r="K444" s="274" t="s">
        <v>1285</v>
      </c>
      <c r="L444" s="274" t="s">
        <v>155</v>
      </c>
      <c r="M444" s="270"/>
      <c r="N444" s="270"/>
      <c r="O444" s="270"/>
    </row>
    <row r="445" spans="1:15" hidden="1">
      <c r="A445" s="280">
        <v>45728</v>
      </c>
      <c r="B445" s="270" t="s">
        <v>1301</v>
      </c>
      <c r="C445" s="276" t="s">
        <v>1321</v>
      </c>
      <c r="D445" s="270" t="s">
        <v>118</v>
      </c>
      <c r="E445" s="281">
        <v>25000</v>
      </c>
      <c r="F445" s="272">
        <v>43.129772309306027</v>
      </c>
      <c r="G445" s="273">
        <v>579.64599999999996</v>
      </c>
      <c r="H445" s="274" t="s">
        <v>196</v>
      </c>
      <c r="I445" s="274" t="s">
        <v>961</v>
      </c>
      <c r="J445" s="274" t="s">
        <v>98</v>
      </c>
      <c r="K445" s="274" t="s">
        <v>1285</v>
      </c>
      <c r="L445" s="274" t="s">
        <v>155</v>
      </c>
      <c r="M445" s="270"/>
      <c r="N445" s="270"/>
      <c r="O445" s="270"/>
    </row>
    <row r="446" spans="1:15" hidden="1">
      <c r="A446" s="280">
        <v>45729</v>
      </c>
      <c r="B446" s="270" t="s">
        <v>614</v>
      </c>
      <c r="C446" s="277" t="s">
        <v>2342</v>
      </c>
      <c r="D446" s="270" t="s">
        <v>118</v>
      </c>
      <c r="E446" s="281">
        <v>1740</v>
      </c>
      <c r="F446" s="272">
        <v>3.0018321527276997</v>
      </c>
      <c r="G446" s="273">
        <v>579.64599999999996</v>
      </c>
      <c r="H446" s="274" t="s">
        <v>196</v>
      </c>
      <c r="I446" s="274" t="s">
        <v>964</v>
      </c>
      <c r="J446" s="274" t="s">
        <v>98</v>
      </c>
      <c r="K446" s="274" t="s">
        <v>1285</v>
      </c>
      <c r="L446" s="274" t="s">
        <v>155</v>
      </c>
      <c r="M446" s="270"/>
      <c r="N446" s="270"/>
      <c r="O446" s="270"/>
    </row>
    <row r="447" spans="1:15" hidden="1">
      <c r="A447" s="280">
        <v>45730</v>
      </c>
      <c r="B447" s="270" t="s">
        <v>1119</v>
      </c>
      <c r="C447" s="276" t="s">
        <v>179</v>
      </c>
      <c r="D447" s="271" t="s">
        <v>502</v>
      </c>
      <c r="E447" s="281">
        <v>30000</v>
      </c>
      <c r="F447" s="272">
        <v>51.755726771167232</v>
      </c>
      <c r="G447" s="273">
        <v>579.64599999999996</v>
      </c>
      <c r="H447" s="274" t="s">
        <v>176</v>
      </c>
      <c r="I447" s="274" t="s">
        <v>1120</v>
      </c>
      <c r="J447" s="274" t="s">
        <v>98</v>
      </c>
      <c r="K447" s="274" t="s">
        <v>1285</v>
      </c>
      <c r="L447" s="274" t="s">
        <v>155</v>
      </c>
      <c r="M447" s="270"/>
      <c r="N447" s="270"/>
      <c r="O447" s="270"/>
    </row>
    <row r="448" spans="1:15" hidden="1">
      <c r="A448" s="280">
        <v>45730</v>
      </c>
      <c r="B448" s="270" t="s">
        <v>1121</v>
      </c>
      <c r="C448" s="276" t="s">
        <v>175</v>
      </c>
      <c r="D448" s="271" t="s">
        <v>502</v>
      </c>
      <c r="E448" s="281">
        <v>4000</v>
      </c>
      <c r="F448" s="272">
        <v>6.9007635694889649</v>
      </c>
      <c r="G448" s="273">
        <v>579.64599999999996</v>
      </c>
      <c r="H448" s="274" t="s">
        <v>176</v>
      </c>
      <c r="I448" s="274" t="s">
        <v>1122</v>
      </c>
      <c r="J448" s="274" t="s">
        <v>98</v>
      </c>
      <c r="K448" s="274" t="s">
        <v>1285</v>
      </c>
      <c r="L448" s="274" t="s">
        <v>155</v>
      </c>
      <c r="M448" s="270"/>
      <c r="N448" s="270"/>
      <c r="O448" s="270"/>
    </row>
    <row r="449" spans="1:15" hidden="1">
      <c r="A449" s="280">
        <v>45730</v>
      </c>
      <c r="B449" s="270" t="s">
        <v>1030</v>
      </c>
      <c r="C449" s="270" t="s">
        <v>123</v>
      </c>
      <c r="D449" s="271" t="s">
        <v>117</v>
      </c>
      <c r="E449" s="281">
        <v>300000</v>
      </c>
      <c r="F449" s="272">
        <v>517.55726771167235</v>
      </c>
      <c r="G449" s="282">
        <v>579.64599999999996</v>
      </c>
      <c r="H449" s="274" t="s">
        <v>148</v>
      </c>
      <c r="I449" s="274" t="s">
        <v>1069</v>
      </c>
      <c r="J449" s="274" t="s">
        <v>98</v>
      </c>
      <c r="K449" s="278" t="s">
        <v>205</v>
      </c>
      <c r="L449" s="274" t="s">
        <v>155</v>
      </c>
      <c r="M449" s="270"/>
      <c r="N449" s="270"/>
      <c r="O449" s="270"/>
    </row>
    <row r="450" spans="1:15" hidden="1">
      <c r="A450" s="280">
        <v>45730</v>
      </c>
      <c r="B450" s="270" t="s">
        <v>1031</v>
      </c>
      <c r="C450" s="270" t="s">
        <v>123</v>
      </c>
      <c r="D450" s="271" t="s">
        <v>117</v>
      </c>
      <c r="E450" s="281">
        <v>200000</v>
      </c>
      <c r="F450" s="272">
        <v>345.03817847444822</v>
      </c>
      <c r="G450" s="282">
        <v>579.64599999999996</v>
      </c>
      <c r="H450" s="274" t="s">
        <v>148</v>
      </c>
      <c r="I450" s="274" t="s">
        <v>1070</v>
      </c>
      <c r="J450" s="274" t="s">
        <v>98</v>
      </c>
      <c r="K450" s="278" t="s">
        <v>205</v>
      </c>
      <c r="L450" s="274" t="s">
        <v>155</v>
      </c>
      <c r="M450" s="270"/>
      <c r="N450" s="270"/>
      <c r="O450" s="270"/>
    </row>
    <row r="451" spans="1:15" hidden="1">
      <c r="A451" s="280">
        <v>45731</v>
      </c>
      <c r="B451" s="270" t="s">
        <v>1123</v>
      </c>
      <c r="C451" s="276" t="s">
        <v>179</v>
      </c>
      <c r="D451" s="271" t="s">
        <v>502</v>
      </c>
      <c r="E451" s="281">
        <v>15000</v>
      </c>
      <c r="F451" s="272">
        <v>25.877863385583616</v>
      </c>
      <c r="G451" s="273">
        <v>579.64599999999996</v>
      </c>
      <c r="H451" s="274" t="s">
        <v>176</v>
      </c>
      <c r="I451" s="274" t="s">
        <v>1124</v>
      </c>
      <c r="J451" s="274" t="s">
        <v>98</v>
      </c>
      <c r="K451" s="274" t="s">
        <v>1285</v>
      </c>
      <c r="L451" s="274" t="s">
        <v>155</v>
      </c>
      <c r="M451" s="270"/>
      <c r="N451" s="270"/>
      <c r="O451" s="270"/>
    </row>
    <row r="452" spans="1:15" hidden="1">
      <c r="A452" s="280">
        <v>45731</v>
      </c>
      <c r="B452" s="270" t="s">
        <v>1125</v>
      </c>
      <c r="C452" s="276" t="s">
        <v>175</v>
      </c>
      <c r="D452" s="271" t="s">
        <v>502</v>
      </c>
      <c r="E452" s="281">
        <v>4000</v>
      </c>
      <c r="F452" s="272">
        <v>6.9007635694889649</v>
      </c>
      <c r="G452" s="273">
        <v>579.64599999999996</v>
      </c>
      <c r="H452" s="274" t="s">
        <v>176</v>
      </c>
      <c r="I452" s="274" t="s">
        <v>1126</v>
      </c>
      <c r="J452" s="274" t="s">
        <v>98</v>
      </c>
      <c r="K452" s="274" t="s">
        <v>1285</v>
      </c>
      <c r="L452" s="274" t="s">
        <v>155</v>
      </c>
      <c r="M452" s="270"/>
      <c r="N452" s="270"/>
      <c r="O452" s="270"/>
    </row>
    <row r="453" spans="1:15" hidden="1">
      <c r="A453" s="280">
        <v>45732</v>
      </c>
      <c r="B453" s="270" t="s">
        <v>1265</v>
      </c>
      <c r="C453" s="276" t="s">
        <v>175</v>
      </c>
      <c r="D453" s="271" t="s">
        <v>117</v>
      </c>
      <c r="E453" s="281">
        <v>10000</v>
      </c>
      <c r="F453" s="272">
        <v>17.251908923722411</v>
      </c>
      <c r="G453" s="273">
        <v>579.64599999999996</v>
      </c>
      <c r="H453" s="274" t="s">
        <v>203</v>
      </c>
      <c r="I453" s="274" t="s">
        <v>1289</v>
      </c>
      <c r="J453" s="274" t="s">
        <v>98</v>
      </c>
      <c r="K453" s="274" t="s">
        <v>1285</v>
      </c>
      <c r="L453" s="274" t="s">
        <v>155</v>
      </c>
      <c r="M453" s="270"/>
      <c r="N453" s="270"/>
      <c r="O453" s="270"/>
    </row>
    <row r="454" spans="1:15" hidden="1">
      <c r="A454" s="280">
        <v>45732</v>
      </c>
      <c r="B454" s="270" t="s">
        <v>1162</v>
      </c>
      <c r="C454" s="276" t="s">
        <v>179</v>
      </c>
      <c r="D454" s="271" t="s">
        <v>502</v>
      </c>
      <c r="E454" s="281">
        <v>75000</v>
      </c>
      <c r="F454" s="272">
        <v>129.38931692791809</v>
      </c>
      <c r="G454" s="273">
        <v>579.64599999999996</v>
      </c>
      <c r="H454" s="274" t="s">
        <v>332</v>
      </c>
      <c r="I454" s="274" t="s">
        <v>1163</v>
      </c>
      <c r="J454" s="274" t="s">
        <v>98</v>
      </c>
      <c r="K454" s="274" t="s">
        <v>1285</v>
      </c>
      <c r="L454" s="274" t="s">
        <v>155</v>
      </c>
      <c r="M454" s="270"/>
      <c r="N454" s="270"/>
      <c r="O454" s="270"/>
    </row>
    <row r="455" spans="1:15" hidden="1">
      <c r="A455" s="280">
        <v>45732</v>
      </c>
      <c r="B455" s="270" t="s">
        <v>1164</v>
      </c>
      <c r="C455" s="276" t="s">
        <v>175</v>
      </c>
      <c r="D455" s="271" t="s">
        <v>502</v>
      </c>
      <c r="E455" s="281">
        <v>7000</v>
      </c>
      <c r="F455" s="272">
        <v>12.076336246605688</v>
      </c>
      <c r="G455" s="273">
        <v>579.64599999999996</v>
      </c>
      <c r="H455" s="274" t="s">
        <v>332</v>
      </c>
      <c r="I455" s="274" t="s">
        <v>1165</v>
      </c>
      <c r="J455" s="274" t="s">
        <v>98</v>
      </c>
      <c r="K455" s="274" t="s">
        <v>1285</v>
      </c>
      <c r="L455" s="274" t="s">
        <v>155</v>
      </c>
      <c r="M455" s="270"/>
      <c r="N455" s="270"/>
      <c r="O455" s="270"/>
    </row>
    <row r="456" spans="1:15" hidden="1">
      <c r="A456" s="280">
        <v>45732</v>
      </c>
      <c r="B456" s="270" t="s">
        <v>1197</v>
      </c>
      <c r="C456" s="276" t="s">
        <v>175</v>
      </c>
      <c r="D456" s="271" t="s">
        <v>117</v>
      </c>
      <c r="E456" s="281">
        <v>10000</v>
      </c>
      <c r="F456" s="272">
        <v>17.251908923722411</v>
      </c>
      <c r="G456" s="273">
        <v>579.64599999999996</v>
      </c>
      <c r="H456" s="274" t="s">
        <v>190</v>
      </c>
      <c r="I456" s="274" t="s">
        <v>1198</v>
      </c>
      <c r="J456" s="274" t="s">
        <v>98</v>
      </c>
      <c r="K456" s="274" t="s">
        <v>1285</v>
      </c>
      <c r="L456" s="274" t="s">
        <v>155</v>
      </c>
      <c r="M456" s="270"/>
      <c r="N456" s="270"/>
      <c r="O456" s="270"/>
    </row>
    <row r="457" spans="1:15" hidden="1">
      <c r="A457" s="280">
        <v>45732</v>
      </c>
      <c r="B457" s="270" t="s">
        <v>1309</v>
      </c>
      <c r="C457" s="276" t="s">
        <v>175</v>
      </c>
      <c r="D457" s="271" t="s">
        <v>117</v>
      </c>
      <c r="E457" s="281">
        <v>10000</v>
      </c>
      <c r="F457" s="272">
        <v>17.251908923722411</v>
      </c>
      <c r="G457" s="273">
        <v>579.64599999999996</v>
      </c>
      <c r="H457" s="274" t="s">
        <v>193</v>
      </c>
      <c r="I457" s="274" t="s">
        <v>1218</v>
      </c>
      <c r="J457" s="274" t="s">
        <v>98</v>
      </c>
      <c r="K457" s="274" t="s">
        <v>1285</v>
      </c>
      <c r="L457" s="274" t="s">
        <v>155</v>
      </c>
      <c r="M457" s="270"/>
      <c r="N457" s="270"/>
      <c r="O457" s="270"/>
    </row>
    <row r="458" spans="1:15" hidden="1">
      <c r="A458" s="280">
        <v>45732</v>
      </c>
      <c r="B458" s="270" t="s">
        <v>1238</v>
      </c>
      <c r="C458" s="276" t="s">
        <v>175</v>
      </c>
      <c r="D458" s="271" t="s">
        <v>117</v>
      </c>
      <c r="E458" s="281">
        <v>10000</v>
      </c>
      <c r="F458" s="272">
        <v>17.251908923722411</v>
      </c>
      <c r="G458" s="273">
        <v>579.64599999999996</v>
      </c>
      <c r="H458" s="274" t="s">
        <v>497</v>
      </c>
      <c r="I458" s="274" t="s">
        <v>1239</v>
      </c>
      <c r="J458" s="274" t="s">
        <v>98</v>
      </c>
      <c r="K458" s="274" t="s">
        <v>1285</v>
      </c>
      <c r="L458" s="274" t="s">
        <v>155</v>
      </c>
      <c r="M458" s="270"/>
      <c r="N458" s="270"/>
      <c r="O458" s="270"/>
    </row>
    <row r="459" spans="1:15" hidden="1">
      <c r="A459" s="280">
        <v>45732</v>
      </c>
      <c r="B459" s="270" t="s">
        <v>1310</v>
      </c>
      <c r="C459" s="276" t="s">
        <v>175</v>
      </c>
      <c r="D459" s="270" t="s">
        <v>2343</v>
      </c>
      <c r="E459" s="281">
        <v>10000</v>
      </c>
      <c r="F459" s="272">
        <v>17.251908923722411</v>
      </c>
      <c r="G459" s="273">
        <v>579.64599999999996</v>
      </c>
      <c r="H459" s="274" t="s">
        <v>217</v>
      </c>
      <c r="I459" s="274" t="s">
        <v>1251</v>
      </c>
      <c r="J459" s="274" t="s">
        <v>98</v>
      </c>
      <c r="K459" s="274" t="s">
        <v>1285</v>
      </c>
      <c r="L459" s="274" t="s">
        <v>155</v>
      </c>
      <c r="M459" s="270"/>
      <c r="N459" s="270"/>
      <c r="O459" s="270"/>
    </row>
    <row r="460" spans="1:15" hidden="1">
      <c r="A460" s="280">
        <v>45733</v>
      </c>
      <c r="B460" s="270" t="s">
        <v>1266</v>
      </c>
      <c r="C460" s="276" t="s">
        <v>179</v>
      </c>
      <c r="D460" s="270" t="s">
        <v>2343</v>
      </c>
      <c r="E460" s="281">
        <v>190000</v>
      </c>
      <c r="F460" s="272">
        <v>327.78626955072582</v>
      </c>
      <c r="G460" s="282">
        <v>579.64599999999996</v>
      </c>
      <c r="H460" s="274" t="s">
        <v>203</v>
      </c>
      <c r="I460" s="274" t="s">
        <v>1267</v>
      </c>
      <c r="J460" s="274" t="s">
        <v>98</v>
      </c>
      <c r="K460" s="278" t="s">
        <v>205</v>
      </c>
      <c r="L460" s="274" t="s">
        <v>155</v>
      </c>
      <c r="M460" s="270"/>
      <c r="N460" s="270"/>
      <c r="O460" s="270"/>
    </row>
    <row r="461" spans="1:15" hidden="1">
      <c r="A461" s="280">
        <v>45733</v>
      </c>
      <c r="B461" s="270" t="s">
        <v>917</v>
      </c>
      <c r="C461" s="277" t="s">
        <v>2342</v>
      </c>
      <c r="D461" s="270" t="s">
        <v>118</v>
      </c>
      <c r="E461" s="281">
        <v>12690</v>
      </c>
      <c r="F461" s="272">
        <v>21.892672424203738</v>
      </c>
      <c r="G461" s="273">
        <v>579.64599999999996</v>
      </c>
      <c r="H461" s="274" t="s">
        <v>643</v>
      </c>
      <c r="I461" s="274" t="s">
        <v>965</v>
      </c>
      <c r="J461" s="274" t="s">
        <v>98</v>
      </c>
      <c r="K461" s="274" t="s">
        <v>1285</v>
      </c>
      <c r="L461" s="274" t="s">
        <v>155</v>
      </c>
      <c r="M461" s="270"/>
      <c r="N461" s="270"/>
      <c r="O461" s="270"/>
    </row>
    <row r="462" spans="1:15" hidden="1">
      <c r="A462" s="280">
        <v>45733</v>
      </c>
      <c r="B462" s="270" t="s">
        <v>918</v>
      </c>
      <c r="C462" s="270" t="s">
        <v>152</v>
      </c>
      <c r="D462" s="270" t="s">
        <v>119</v>
      </c>
      <c r="E462" s="281">
        <v>20000</v>
      </c>
      <c r="F462" s="272">
        <v>34.503817847444822</v>
      </c>
      <c r="G462" s="273">
        <v>579.64599999999996</v>
      </c>
      <c r="H462" s="274" t="s">
        <v>643</v>
      </c>
      <c r="I462" s="274" t="s">
        <v>966</v>
      </c>
      <c r="J462" s="274" t="s">
        <v>98</v>
      </c>
      <c r="K462" s="274" t="s">
        <v>1285</v>
      </c>
      <c r="L462" s="274" t="s">
        <v>155</v>
      </c>
      <c r="M462" s="270"/>
      <c r="N462" s="270"/>
      <c r="O462" s="270"/>
    </row>
    <row r="463" spans="1:15" hidden="1">
      <c r="A463" s="280">
        <v>45733</v>
      </c>
      <c r="B463" s="270" t="s">
        <v>919</v>
      </c>
      <c r="C463" s="270" t="s">
        <v>152</v>
      </c>
      <c r="D463" s="271" t="s">
        <v>117</v>
      </c>
      <c r="E463" s="281">
        <v>30000</v>
      </c>
      <c r="F463" s="272">
        <v>51.755726771167232</v>
      </c>
      <c r="G463" s="273">
        <v>579.64599999999996</v>
      </c>
      <c r="H463" s="274" t="s">
        <v>643</v>
      </c>
      <c r="I463" s="274" t="s">
        <v>967</v>
      </c>
      <c r="J463" s="274" t="s">
        <v>98</v>
      </c>
      <c r="K463" s="274" t="s">
        <v>1285</v>
      </c>
      <c r="L463" s="274" t="s">
        <v>155</v>
      </c>
      <c r="M463" s="270"/>
      <c r="N463" s="270"/>
      <c r="O463" s="270"/>
    </row>
    <row r="464" spans="1:15" hidden="1">
      <c r="A464" s="280">
        <v>45733</v>
      </c>
      <c r="B464" s="270" t="s">
        <v>920</v>
      </c>
      <c r="C464" s="270" t="s">
        <v>152</v>
      </c>
      <c r="D464" s="271" t="s">
        <v>502</v>
      </c>
      <c r="E464" s="281">
        <v>55000</v>
      </c>
      <c r="F464" s="272">
        <v>94.885499080473267</v>
      </c>
      <c r="G464" s="273">
        <v>579.64599999999996</v>
      </c>
      <c r="H464" s="274" t="s">
        <v>643</v>
      </c>
      <c r="I464" s="274" t="s">
        <v>968</v>
      </c>
      <c r="J464" s="274" t="s">
        <v>98</v>
      </c>
      <c r="K464" s="274" t="s">
        <v>1285</v>
      </c>
      <c r="L464" s="274" t="s">
        <v>155</v>
      </c>
      <c r="M464" s="270"/>
      <c r="N464" s="270"/>
      <c r="O464" s="270"/>
    </row>
    <row r="465" spans="1:15" hidden="1">
      <c r="A465" s="280">
        <v>45733</v>
      </c>
      <c r="B465" s="270" t="s">
        <v>921</v>
      </c>
      <c r="C465" s="270" t="s">
        <v>152</v>
      </c>
      <c r="D465" s="270" t="s">
        <v>120</v>
      </c>
      <c r="E465" s="281">
        <v>10000</v>
      </c>
      <c r="F465" s="272">
        <v>17.251908923722411</v>
      </c>
      <c r="G465" s="273">
        <v>579.64599999999996</v>
      </c>
      <c r="H465" s="274" t="s">
        <v>643</v>
      </c>
      <c r="I465" s="274" t="s">
        <v>969</v>
      </c>
      <c r="J465" s="274" t="s">
        <v>98</v>
      </c>
      <c r="K465" s="274" t="s">
        <v>1285</v>
      </c>
      <c r="L465" s="274" t="s">
        <v>155</v>
      </c>
      <c r="M465" s="270"/>
      <c r="N465" s="270"/>
      <c r="O465" s="270"/>
    </row>
    <row r="466" spans="1:15" hidden="1">
      <c r="A466" s="280">
        <v>45733</v>
      </c>
      <c r="B466" s="270" t="s">
        <v>922</v>
      </c>
      <c r="C466" s="270" t="s">
        <v>152</v>
      </c>
      <c r="D466" s="271" t="s">
        <v>117</v>
      </c>
      <c r="E466" s="281">
        <v>10000</v>
      </c>
      <c r="F466" s="272">
        <v>17.251908923722411</v>
      </c>
      <c r="G466" s="273">
        <v>579.64599999999996</v>
      </c>
      <c r="H466" s="274" t="s">
        <v>643</v>
      </c>
      <c r="I466" s="274" t="s">
        <v>970</v>
      </c>
      <c r="J466" s="274" t="s">
        <v>98</v>
      </c>
      <c r="K466" s="274" t="s">
        <v>1285</v>
      </c>
      <c r="L466" s="274" t="s">
        <v>155</v>
      </c>
      <c r="M466" s="270"/>
      <c r="N466" s="270"/>
      <c r="O466" s="270"/>
    </row>
    <row r="467" spans="1:15" hidden="1">
      <c r="A467" s="280">
        <v>45733</v>
      </c>
      <c r="B467" s="270" t="s">
        <v>923</v>
      </c>
      <c r="C467" s="270" t="s">
        <v>152</v>
      </c>
      <c r="D467" s="271" t="s">
        <v>502</v>
      </c>
      <c r="E467" s="281">
        <v>5000</v>
      </c>
      <c r="F467" s="272">
        <v>8.6259544618612054</v>
      </c>
      <c r="G467" s="273">
        <v>579.64599999999996</v>
      </c>
      <c r="H467" s="274" t="s">
        <v>643</v>
      </c>
      <c r="I467" s="274" t="s">
        <v>971</v>
      </c>
      <c r="J467" s="274" t="s">
        <v>98</v>
      </c>
      <c r="K467" s="274" t="s">
        <v>1285</v>
      </c>
      <c r="L467" s="274" t="s">
        <v>155</v>
      </c>
      <c r="M467" s="270"/>
      <c r="N467" s="270"/>
      <c r="O467" s="270"/>
    </row>
    <row r="468" spans="1:15" hidden="1">
      <c r="A468" s="280">
        <v>45733</v>
      </c>
      <c r="B468" s="270" t="s">
        <v>1199</v>
      </c>
      <c r="C468" s="276" t="s">
        <v>179</v>
      </c>
      <c r="D468" s="271" t="s">
        <v>117</v>
      </c>
      <c r="E468" s="281">
        <v>120000</v>
      </c>
      <c r="F468" s="272">
        <v>207.02290708466893</v>
      </c>
      <c r="G468" s="273">
        <v>579.64599999999996</v>
      </c>
      <c r="H468" s="274" t="s">
        <v>190</v>
      </c>
      <c r="I468" s="274" t="s">
        <v>1200</v>
      </c>
      <c r="J468" s="274" t="s">
        <v>98</v>
      </c>
      <c r="K468" s="274" t="s">
        <v>1285</v>
      </c>
      <c r="L468" s="274" t="s">
        <v>155</v>
      </c>
      <c r="M468" s="270"/>
      <c r="N468" s="270"/>
      <c r="O468" s="270"/>
    </row>
    <row r="469" spans="1:15" hidden="1">
      <c r="A469" s="280">
        <v>45733</v>
      </c>
      <c r="B469" s="270" t="s">
        <v>1219</v>
      </c>
      <c r="C469" s="276" t="s">
        <v>179</v>
      </c>
      <c r="D469" s="270" t="s">
        <v>2343</v>
      </c>
      <c r="E469" s="281">
        <v>90000</v>
      </c>
      <c r="F469" s="272">
        <v>155.26718031350171</v>
      </c>
      <c r="G469" s="273">
        <v>579.64599999999996</v>
      </c>
      <c r="H469" s="274" t="s">
        <v>193</v>
      </c>
      <c r="I469" s="274" t="s">
        <v>1220</v>
      </c>
      <c r="J469" s="274" t="s">
        <v>98</v>
      </c>
      <c r="K469" s="274" t="s">
        <v>1285</v>
      </c>
      <c r="L469" s="274" t="s">
        <v>155</v>
      </c>
      <c r="M469" s="270"/>
      <c r="N469" s="270"/>
      <c r="O469" s="270"/>
    </row>
    <row r="470" spans="1:15" hidden="1">
      <c r="A470" s="280">
        <v>45733</v>
      </c>
      <c r="B470" s="270" t="s">
        <v>1240</v>
      </c>
      <c r="C470" s="276" t="s">
        <v>179</v>
      </c>
      <c r="D470" s="271" t="s">
        <v>117</v>
      </c>
      <c r="E470" s="281">
        <v>190000</v>
      </c>
      <c r="F470" s="272">
        <v>327.78626955072582</v>
      </c>
      <c r="G470" s="282">
        <v>579.64599999999996</v>
      </c>
      <c r="H470" s="274" t="s">
        <v>497</v>
      </c>
      <c r="I470" s="274" t="s">
        <v>1241</v>
      </c>
      <c r="J470" s="274" t="s">
        <v>98</v>
      </c>
      <c r="K470" s="278" t="s">
        <v>205</v>
      </c>
      <c r="L470" s="274" t="s">
        <v>155</v>
      </c>
      <c r="M470" s="270"/>
      <c r="N470" s="270"/>
      <c r="O470" s="270"/>
    </row>
    <row r="471" spans="1:15" hidden="1">
      <c r="A471" s="280">
        <v>45733</v>
      </c>
      <c r="B471" s="270" t="s">
        <v>1252</v>
      </c>
      <c r="C471" s="276" t="s">
        <v>179</v>
      </c>
      <c r="D471" s="270" t="s">
        <v>2343</v>
      </c>
      <c r="E471" s="281">
        <v>90000</v>
      </c>
      <c r="F471" s="272">
        <v>155.26718031350171</v>
      </c>
      <c r="G471" s="273">
        <v>579.64599999999996</v>
      </c>
      <c r="H471" s="274" t="s">
        <v>217</v>
      </c>
      <c r="I471" s="274" t="s">
        <v>1253</v>
      </c>
      <c r="J471" s="274" t="s">
        <v>98</v>
      </c>
      <c r="K471" s="274" t="s">
        <v>1285</v>
      </c>
      <c r="L471" s="274" t="s">
        <v>155</v>
      </c>
      <c r="M471" s="270"/>
      <c r="N471" s="270"/>
      <c r="O471" s="270"/>
    </row>
    <row r="472" spans="1:15" hidden="1">
      <c r="A472" s="280">
        <v>45734</v>
      </c>
      <c r="B472" s="270" t="s">
        <v>1127</v>
      </c>
      <c r="C472" s="276" t="s">
        <v>179</v>
      </c>
      <c r="D472" s="271" t="s">
        <v>502</v>
      </c>
      <c r="E472" s="281">
        <v>45000</v>
      </c>
      <c r="F472" s="272">
        <v>77.633590156750856</v>
      </c>
      <c r="G472" s="273">
        <v>579.64599999999996</v>
      </c>
      <c r="H472" s="274" t="s">
        <v>176</v>
      </c>
      <c r="I472" s="274" t="s">
        <v>1128</v>
      </c>
      <c r="J472" s="274" t="s">
        <v>98</v>
      </c>
      <c r="K472" s="274" t="s">
        <v>1285</v>
      </c>
      <c r="L472" s="274" t="s">
        <v>155</v>
      </c>
      <c r="M472" s="270"/>
      <c r="N472" s="270"/>
      <c r="O472" s="270"/>
    </row>
    <row r="473" spans="1:15" hidden="1">
      <c r="A473" s="280">
        <v>45734</v>
      </c>
      <c r="B473" s="270" t="s">
        <v>1129</v>
      </c>
      <c r="C473" s="276" t="s">
        <v>175</v>
      </c>
      <c r="D473" s="271" t="s">
        <v>502</v>
      </c>
      <c r="E473" s="281">
        <v>6000</v>
      </c>
      <c r="F473" s="272">
        <v>10.351145354233447</v>
      </c>
      <c r="G473" s="273">
        <v>579.64599999999996</v>
      </c>
      <c r="H473" s="274" t="s">
        <v>176</v>
      </c>
      <c r="I473" s="274" t="s">
        <v>1130</v>
      </c>
      <c r="J473" s="274" t="s">
        <v>98</v>
      </c>
      <c r="K473" s="274" t="s">
        <v>1285</v>
      </c>
      <c r="L473" s="274" t="s">
        <v>155</v>
      </c>
      <c r="M473" s="270"/>
      <c r="N473" s="270"/>
      <c r="O473" s="270"/>
    </row>
    <row r="474" spans="1:15" hidden="1">
      <c r="A474" s="280">
        <v>45734</v>
      </c>
      <c r="B474" s="270" t="s">
        <v>1166</v>
      </c>
      <c r="C474" s="276" t="s">
        <v>179</v>
      </c>
      <c r="D474" s="271" t="s">
        <v>502</v>
      </c>
      <c r="E474" s="281">
        <v>30000</v>
      </c>
      <c r="F474" s="272">
        <v>51.755726771167232</v>
      </c>
      <c r="G474" s="282">
        <v>579.64599999999996</v>
      </c>
      <c r="H474" s="274" t="s">
        <v>332</v>
      </c>
      <c r="I474" s="274" t="s">
        <v>1167</v>
      </c>
      <c r="J474" s="274" t="s">
        <v>98</v>
      </c>
      <c r="K474" s="278" t="s">
        <v>205</v>
      </c>
      <c r="L474" s="274" t="s">
        <v>155</v>
      </c>
      <c r="M474" s="270"/>
      <c r="N474" s="270"/>
      <c r="O474" s="270"/>
    </row>
    <row r="475" spans="1:15" hidden="1">
      <c r="A475" s="280">
        <v>45734</v>
      </c>
      <c r="B475" s="270" t="s">
        <v>1168</v>
      </c>
      <c r="C475" s="276" t="s">
        <v>175</v>
      </c>
      <c r="D475" s="271" t="s">
        <v>502</v>
      </c>
      <c r="E475" s="281">
        <v>7000</v>
      </c>
      <c r="F475" s="272">
        <v>12.076336246605688</v>
      </c>
      <c r="G475" s="282">
        <v>579.64599999999996</v>
      </c>
      <c r="H475" s="274" t="s">
        <v>332</v>
      </c>
      <c r="I475" s="274" t="s">
        <v>1169</v>
      </c>
      <c r="J475" s="274" t="s">
        <v>98</v>
      </c>
      <c r="K475" s="278" t="s">
        <v>205</v>
      </c>
      <c r="L475" s="274" t="s">
        <v>155</v>
      </c>
      <c r="M475" s="270"/>
      <c r="N475" s="270"/>
      <c r="O475" s="270"/>
    </row>
    <row r="476" spans="1:15" hidden="1">
      <c r="A476" s="280">
        <v>45734</v>
      </c>
      <c r="B476" s="270" t="s">
        <v>1230</v>
      </c>
      <c r="C476" s="276" t="s">
        <v>175</v>
      </c>
      <c r="D476" s="271" t="s">
        <v>117</v>
      </c>
      <c r="E476" s="281">
        <v>7000</v>
      </c>
      <c r="F476" s="272">
        <v>12.076336246605688</v>
      </c>
      <c r="G476" s="282">
        <v>579.64599999999996</v>
      </c>
      <c r="H476" s="274" t="s">
        <v>196</v>
      </c>
      <c r="I476" s="274" t="s">
        <v>1231</v>
      </c>
      <c r="J476" s="274" t="s">
        <v>98</v>
      </c>
      <c r="K476" s="278" t="s">
        <v>205</v>
      </c>
      <c r="L476" s="274" t="s">
        <v>155</v>
      </c>
      <c r="M476" s="270"/>
      <c r="N476" s="270"/>
      <c r="O476" s="270"/>
    </row>
    <row r="477" spans="1:15" hidden="1">
      <c r="A477" s="280">
        <v>45734</v>
      </c>
      <c r="B477" s="270" t="s">
        <v>1311</v>
      </c>
      <c r="C477" s="276" t="s">
        <v>175</v>
      </c>
      <c r="D477" s="271" t="s">
        <v>117</v>
      </c>
      <c r="E477" s="281">
        <v>21000</v>
      </c>
      <c r="F477" s="272">
        <v>36.229008739817061</v>
      </c>
      <c r="G477" s="282">
        <v>579.64599999999996</v>
      </c>
      <c r="H477" s="274" t="s">
        <v>196</v>
      </c>
      <c r="I477" s="274" t="s">
        <v>972</v>
      </c>
      <c r="J477" s="274" t="s">
        <v>98</v>
      </c>
      <c r="K477" s="278" t="s">
        <v>205</v>
      </c>
      <c r="L477" s="274" t="s">
        <v>155</v>
      </c>
      <c r="M477" s="270"/>
      <c r="N477" s="270"/>
      <c r="O477" s="270"/>
    </row>
    <row r="478" spans="1:15" hidden="1">
      <c r="A478" s="280">
        <v>45734</v>
      </c>
      <c r="B478" s="270" t="s">
        <v>1312</v>
      </c>
      <c r="C478" s="276" t="s">
        <v>179</v>
      </c>
      <c r="D478" s="271" t="s">
        <v>117</v>
      </c>
      <c r="E478" s="281">
        <v>75000</v>
      </c>
      <c r="F478" s="272">
        <v>129.38931692791809</v>
      </c>
      <c r="G478" s="282">
        <v>579.64599999999996</v>
      </c>
      <c r="H478" s="274" t="s">
        <v>196</v>
      </c>
      <c r="I478" s="274" t="s">
        <v>973</v>
      </c>
      <c r="J478" s="274" t="s">
        <v>98</v>
      </c>
      <c r="K478" s="278" t="s">
        <v>205</v>
      </c>
      <c r="L478" s="274" t="s">
        <v>155</v>
      </c>
      <c r="M478" s="270"/>
      <c r="N478" s="270"/>
      <c r="O478" s="270"/>
    </row>
    <row r="479" spans="1:15" hidden="1">
      <c r="A479" s="280">
        <v>45734</v>
      </c>
      <c r="B479" s="270" t="s">
        <v>924</v>
      </c>
      <c r="C479" s="276" t="s">
        <v>175</v>
      </c>
      <c r="D479" s="271" t="s">
        <v>117</v>
      </c>
      <c r="E479" s="281">
        <v>21000</v>
      </c>
      <c r="F479" s="272">
        <v>36.229008739817061</v>
      </c>
      <c r="G479" s="282">
        <v>579.64599999999996</v>
      </c>
      <c r="H479" s="274" t="s">
        <v>196</v>
      </c>
      <c r="I479" s="274" t="s">
        <v>974</v>
      </c>
      <c r="J479" s="274" t="s">
        <v>98</v>
      </c>
      <c r="K479" s="278" t="s">
        <v>205</v>
      </c>
      <c r="L479" s="274" t="s">
        <v>155</v>
      </c>
      <c r="M479" s="270"/>
      <c r="N479" s="270"/>
      <c r="O479" s="270"/>
    </row>
    <row r="480" spans="1:15" hidden="1">
      <c r="A480" s="280">
        <v>45734</v>
      </c>
      <c r="B480" s="270" t="s">
        <v>2348</v>
      </c>
      <c r="C480" s="276" t="s">
        <v>179</v>
      </c>
      <c r="D480" s="271" t="s">
        <v>117</v>
      </c>
      <c r="E480" s="281">
        <v>50000</v>
      </c>
      <c r="F480" s="272">
        <v>86.259544618612054</v>
      </c>
      <c r="G480" s="282">
        <v>579.64599999999996</v>
      </c>
      <c r="H480" s="274" t="s">
        <v>196</v>
      </c>
      <c r="I480" s="274" t="s">
        <v>975</v>
      </c>
      <c r="J480" s="274" t="s">
        <v>98</v>
      </c>
      <c r="K480" s="278" t="s">
        <v>205</v>
      </c>
      <c r="L480" s="274" t="s">
        <v>155</v>
      </c>
      <c r="M480" s="270"/>
      <c r="N480" s="270"/>
      <c r="O480" s="270"/>
    </row>
    <row r="481" spans="1:15" hidden="1">
      <c r="A481" s="280">
        <v>45735</v>
      </c>
      <c r="B481" s="270" t="s">
        <v>1268</v>
      </c>
      <c r="C481" s="276" t="s">
        <v>179</v>
      </c>
      <c r="D481" s="270" t="s">
        <v>2343</v>
      </c>
      <c r="E481" s="281">
        <v>30000</v>
      </c>
      <c r="F481" s="272">
        <v>51.755726771167232</v>
      </c>
      <c r="G481" s="282">
        <v>579.64599999999996</v>
      </c>
      <c r="H481" s="274" t="s">
        <v>203</v>
      </c>
      <c r="I481" s="274" t="s">
        <v>1290</v>
      </c>
      <c r="J481" s="274" t="s">
        <v>98</v>
      </c>
      <c r="K481" s="278" t="s">
        <v>205</v>
      </c>
      <c r="L481" s="274" t="s">
        <v>155</v>
      </c>
      <c r="M481" s="270"/>
      <c r="N481" s="270"/>
      <c r="O481" s="270"/>
    </row>
    <row r="482" spans="1:15" hidden="1">
      <c r="A482" s="280">
        <v>45735</v>
      </c>
      <c r="B482" s="270" t="s">
        <v>925</v>
      </c>
      <c r="C482" s="277" t="s">
        <v>2342</v>
      </c>
      <c r="D482" s="270" t="s">
        <v>118</v>
      </c>
      <c r="E482" s="281">
        <v>19830</v>
      </c>
      <c r="F482" s="272">
        <v>34.210535395741545</v>
      </c>
      <c r="G482" s="282">
        <v>579.64599999999996</v>
      </c>
      <c r="H482" s="274" t="s">
        <v>643</v>
      </c>
      <c r="I482" s="274" t="s">
        <v>976</v>
      </c>
      <c r="J482" s="274" t="s">
        <v>98</v>
      </c>
      <c r="K482" s="278" t="s">
        <v>205</v>
      </c>
      <c r="L482" s="274" t="s">
        <v>155</v>
      </c>
      <c r="M482" s="270"/>
      <c r="N482" s="270"/>
      <c r="O482" s="270"/>
    </row>
    <row r="483" spans="1:15" hidden="1">
      <c r="A483" s="280">
        <v>45735</v>
      </c>
      <c r="B483" s="270" t="s">
        <v>926</v>
      </c>
      <c r="C483" s="276" t="s">
        <v>1321</v>
      </c>
      <c r="D483" s="270" t="s">
        <v>118</v>
      </c>
      <c r="E483" s="281">
        <v>300000</v>
      </c>
      <c r="F483" s="272">
        <v>517.55726771167235</v>
      </c>
      <c r="G483" s="282">
        <v>579.64599999999996</v>
      </c>
      <c r="H483" s="274" t="s">
        <v>643</v>
      </c>
      <c r="I483" s="274" t="s">
        <v>977</v>
      </c>
      <c r="J483" s="274" t="s">
        <v>98</v>
      </c>
      <c r="K483" s="278" t="s">
        <v>205</v>
      </c>
      <c r="L483" s="274" t="s">
        <v>155</v>
      </c>
      <c r="M483" s="270"/>
      <c r="N483" s="270"/>
      <c r="O483" s="270"/>
    </row>
    <row r="484" spans="1:15" hidden="1">
      <c r="A484" s="280">
        <v>45735</v>
      </c>
      <c r="B484" s="270" t="s">
        <v>1090</v>
      </c>
      <c r="C484" s="276" t="s">
        <v>179</v>
      </c>
      <c r="D484" s="271" t="s">
        <v>502</v>
      </c>
      <c r="E484" s="281">
        <v>120000</v>
      </c>
      <c r="F484" s="272">
        <v>207.02290708466893</v>
      </c>
      <c r="G484" s="282">
        <v>579.64599999999996</v>
      </c>
      <c r="H484" s="274" t="s">
        <v>187</v>
      </c>
      <c r="I484" s="274" t="s">
        <v>1091</v>
      </c>
      <c r="J484" s="274" t="s">
        <v>98</v>
      </c>
      <c r="K484" s="278" t="s">
        <v>205</v>
      </c>
      <c r="L484" s="274" t="s">
        <v>155</v>
      </c>
      <c r="M484" s="270"/>
      <c r="N484" s="270"/>
      <c r="O484" s="270"/>
    </row>
    <row r="485" spans="1:15" hidden="1">
      <c r="A485" s="280">
        <v>45735</v>
      </c>
      <c r="B485" s="270" t="s">
        <v>1131</v>
      </c>
      <c r="C485" s="270" t="s">
        <v>322</v>
      </c>
      <c r="D485" s="271" t="s">
        <v>502</v>
      </c>
      <c r="E485" s="281">
        <v>10000</v>
      </c>
      <c r="F485" s="272">
        <v>17.251908923722411</v>
      </c>
      <c r="G485" s="282">
        <v>579.64599999999996</v>
      </c>
      <c r="H485" s="274" t="s">
        <v>176</v>
      </c>
      <c r="I485" s="274" t="s">
        <v>1132</v>
      </c>
      <c r="J485" s="274" t="s">
        <v>98</v>
      </c>
      <c r="K485" s="278" t="s">
        <v>205</v>
      </c>
      <c r="L485" s="274" t="s">
        <v>155</v>
      </c>
      <c r="M485" s="270"/>
      <c r="N485" s="270"/>
      <c r="O485" s="270"/>
    </row>
    <row r="486" spans="1:15" hidden="1">
      <c r="A486" s="280">
        <v>45735</v>
      </c>
      <c r="B486" s="270" t="s">
        <v>1232</v>
      </c>
      <c r="C486" s="276" t="s">
        <v>179</v>
      </c>
      <c r="D486" s="271" t="s">
        <v>117</v>
      </c>
      <c r="E486" s="281">
        <v>30000</v>
      </c>
      <c r="F486" s="272">
        <v>51.755726771167232</v>
      </c>
      <c r="G486" s="282">
        <v>579.64599999999996</v>
      </c>
      <c r="H486" s="274" t="s">
        <v>196</v>
      </c>
      <c r="I486" s="274" t="s">
        <v>1233</v>
      </c>
      <c r="J486" s="274" t="s">
        <v>98</v>
      </c>
      <c r="K486" s="278" t="s">
        <v>205</v>
      </c>
      <c r="L486" s="274" t="s">
        <v>155</v>
      </c>
      <c r="M486" s="270"/>
      <c r="N486" s="270"/>
      <c r="O486" s="270"/>
    </row>
    <row r="487" spans="1:15" hidden="1">
      <c r="A487" s="280">
        <v>45736</v>
      </c>
      <c r="B487" s="270" t="s">
        <v>1079</v>
      </c>
      <c r="C487" s="276" t="s">
        <v>403</v>
      </c>
      <c r="D487" s="271" t="s">
        <v>502</v>
      </c>
      <c r="E487" s="281">
        <v>31000</v>
      </c>
      <c r="F487" s="272">
        <v>53.480917663539472</v>
      </c>
      <c r="G487" s="282">
        <v>579.64599999999996</v>
      </c>
      <c r="H487" s="274" t="s">
        <v>153</v>
      </c>
      <c r="I487" s="274" t="s">
        <v>1080</v>
      </c>
      <c r="J487" s="274" t="s">
        <v>98</v>
      </c>
      <c r="K487" s="278" t="s">
        <v>205</v>
      </c>
      <c r="L487" s="274" t="s">
        <v>155</v>
      </c>
      <c r="M487" s="270"/>
      <c r="N487" s="270"/>
      <c r="O487" s="270"/>
    </row>
    <row r="488" spans="1:15" hidden="1">
      <c r="A488" s="280">
        <v>45736</v>
      </c>
      <c r="B488" s="270" t="s">
        <v>695</v>
      </c>
      <c r="C488" s="277" t="s">
        <v>2342</v>
      </c>
      <c r="D488" s="270" t="s">
        <v>118</v>
      </c>
      <c r="E488" s="281">
        <v>2017</v>
      </c>
      <c r="F488" s="272">
        <v>3.4797100299148105</v>
      </c>
      <c r="G488" s="282">
        <v>579.64599999999996</v>
      </c>
      <c r="H488" s="274" t="s">
        <v>153</v>
      </c>
      <c r="I488" s="274" t="s">
        <v>1081</v>
      </c>
      <c r="J488" s="274" t="s">
        <v>98</v>
      </c>
      <c r="K488" s="278" t="s">
        <v>205</v>
      </c>
      <c r="L488" s="274" t="s">
        <v>155</v>
      </c>
      <c r="M488" s="270"/>
      <c r="N488" s="270"/>
      <c r="O488" s="270"/>
    </row>
    <row r="489" spans="1:15" hidden="1">
      <c r="A489" s="280">
        <v>45736</v>
      </c>
      <c r="B489" s="270" t="s">
        <v>334</v>
      </c>
      <c r="C489" s="276" t="s">
        <v>175</v>
      </c>
      <c r="D489" s="271" t="s">
        <v>502</v>
      </c>
      <c r="E489" s="281">
        <v>6000</v>
      </c>
      <c r="F489" s="272">
        <v>10.351145354233447</v>
      </c>
      <c r="G489" s="282">
        <v>579.64599999999996</v>
      </c>
      <c r="H489" s="274" t="s">
        <v>332</v>
      </c>
      <c r="I489" s="274" t="s">
        <v>1170</v>
      </c>
      <c r="J489" s="274" t="s">
        <v>98</v>
      </c>
      <c r="K489" s="278" t="s">
        <v>205</v>
      </c>
      <c r="L489" s="274" t="s">
        <v>155</v>
      </c>
      <c r="M489" s="270"/>
      <c r="N489" s="270"/>
      <c r="O489" s="270"/>
    </row>
    <row r="490" spans="1:15" hidden="1">
      <c r="A490" s="280">
        <v>45736</v>
      </c>
      <c r="B490" s="270" t="s">
        <v>917</v>
      </c>
      <c r="C490" s="277" t="s">
        <v>2342</v>
      </c>
      <c r="D490" s="270" t="s">
        <v>118</v>
      </c>
      <c r="E490" s="281">
        <v>6320</v>
      </c>
      <c r="F490" s="272">
        <v>10.903206439792564</v>
      </c>
      <c r="G490" s="282">
        <v>579.64599999999996</v>
      </c>
      <c r="H490" s="274" t="s">
        <v>343</v>
      </c>
      <c r="I490" s="274" t="s">
        <v>978</v>
      </c>
      <c r="J490" s="274" t="s">
        <v>98</v>
      </c>
      <c r="K490" s="278" t="s">
        <v>205</v>
      </c>
      <c r="L490" s="274" t="s">
        <v>155</v>
      </c>
      <c r="M490" s="270"/>
      <c r="N490" s="270"/>
      <c r="O490" s="270"/>
    </row>
    <row r="491" spans="1:15" hidden="1">
      <c r="A491" s="280">
        <v>45737</v>
      </c>
      <c r="B491" s="270" t="s">
        <v>925</v>
      </c>
      <c r="C491" s="277" t="s">
        <v>2342</v>
      </c>
      <c r="D491" s="270" t="s">
        <v>118</v>
      </c>
      <c r="E491" s="281">
        <v>14640</v>
      </c>
      <c r="F491" s="272">
        <v>25.256794664329611</v>
      </c>
      <c r="G491" s="282">
        <v>579.64599999999996</v>
      </c>
      <c r="H491" s="274" t="s">
        <v>643</v>
      </c>
      <c r="I491" s="274" t="s">
        <v>979</v>
      </c>
      <c r="J491" s="274" t="s">
        <v>98</v>
      </c>
      <c r="K491" s="278" t="s">
        <v>205</v>
      </c>
      <c r="L491" s="274" t="s">
        <v>155</v>
      </c>
      <c r="M491" s="270"/>
      <c r="N491" s="270"/>
      <c r="O491" s="270"/>
    </row>
    <row r="492" spans="1:15" hidden="1">
      <c r="A492" s="280">
        <v>45737</v>
      </c>
      <c r="B492" s="270" t="s">
        <v>1133</v>
      </c>
      <c r="C492" s="276" t="s">
        <v>179</v>
      </c>
      <c r="D492" s="271" t="s">
        <v>502</v>
      </c>
      <c r="E492" s="281">
        <v>70000</v>
      </c>
      <c r="F492" s="272">
        <v>120.76336246605688</v>
      </c>
      <c r="G492" s="282">
        <v>579.64599999999996</v>
      </c>
      <c r="H492" s="274" t="s">
        <v>176</v>
      </c>
      <c r="I492" s="274" t="s">
        <v>1134</v>
      </c>
      <c r="J492" s="274" t="s">
        <v>98</v>
      </c>
      <c r="K492" s="278" t="s">
        <v>205</v>
      </c>
      <c r="L492" s="274" t="s">
        <v>155</v>
      </c>
      <c r="M492" s="270"/>
      <c r="N492" s="270"/>
      <c r="O492" s="270"/>
    </row>
    <row r="493" spans="1:15" hidden="1">
      <c r="A493" s="280">
        <v>45737</v>
      </c>
      <c r="B493" s="270" t="s">
        <v>1135</v>
      </c>
      <c r="C493" s="276" t="s">
        <v>175</v>
      </c>
      <c r="D493" s="271" t="s">
        <v>502</v>
      </c>
      <c r="E493" s="281">
        <v>9000</v>
      </c>
      <c r="F493" s="272">
        <v>15.526718031350169</v>
      </c>
      <c r="G493" s="282">
        <v>579.64599999999996</v>
      </c>
      <c r="H493" s="274" t="s">
        <v>176</v>
      </c>
      <c r="I493" s="274" t="s">
        <v>1136</v>
      </c>
      <c r="J493" s="274" t="s">
        <v>98</v>
      </c>
      <c r="K493" s="278" t="s">
        <v>205</v>
      </c>
      <c r="L493" s="274" t="s">
        <v>155</v>
      </c>
      <c r="M493" s="270"/>
      <c r="N493" s="270"/>
      <c r="O493" s="270"/>
    </row>
    <row r="494" spans="1:15" hidden="1">
      <c r="A494" s="280">
        <v>45737</v>
      </c>
      <c r="B494" s="270" t="s">
        <v>1171</v>
      </c>
      <c r="C494" s="276" t="s">
        <v>179</v>
      </c>
      <c r="D494" s="271" t="s">
        <v>502</v>
      </c>
      <c r="E494" s="281">
        <v>70000</v>
      </c>
      <c r="F494" s="272">
        <v>120.76336246605688</v>
      </c>
      <c r="G494" s="282">
        <v>579.64599999999996</v>
      </c>
      <c r="H494" s="274" t="s">
        <v>332</v>
      </c>
      <c r="I494" s="274" t="s">
        <v>1172</v>
      </c>
      <c r="J494" s="274" t="s">
        <v>98</v>
      </c>
      <c r="K494" s="278" t="s">
        <v>205</v>
      </c>
      <c r="L494" s="274" t="s">
        <v>155</v>
      </c>
      <c r="M494" s="270"/>
      <c r="N494" s="270"/>
      <c r="O494" s="270"/>
    </row>
    <row r="495" spans="1:15" hidden="1">
      <c r="A495" s="280">
        <v>45737</v>
      </c>
      <c r="B495" s="270" t="s">
        <v>826</v>
      </c>
      <c r="C495" s="276" t="s">
        <v>175</v>
      </c>
      <c r="D495" s="271" t="s">
        <v>117</v>
      </c>
      <c r="E495" s="281">
        <v>7000</v>
      </c>
      <c r="F495" s="272">
        <v>12.076336246605688</v>
      </c>
      <c r="G495" s="282">
        <v>579.64599999999996</v>
      </c>
      <c r="H495" s="274" t="s">
        <v>196</v>
      </c>
      <c r="I495" s="274" t="s">
        <v>1234</v>
      </c>
      <c r="J495" s="274" t="s">
        <v>98</v>
      </c>
      <c r="K495" s="278" t="s">
        <v>205</v>
      </c>
      <c r="L495" s="274" t="s">
        <v>155</v>
      </c>
      <c r="M495" s="270"/>
      <c r="N495" s="270"/>
      <c r="O495" s="270"/>
    </row>
    <row r="496" spans="1:15" hidden="1">
      <c r="A496" s="280">
        <v>45738</v>
      </c>
      <c r="B496" s="270" t="s">
        <v>1269</v>
      </c>
      <c r="C496" s="276" t="s">
        <v>179</v>
      </c>
      <c r="D496" s="270" t="s">
        <v>2343</v>
      </c>
      <c r="E496" s="281">
        <v>11800</v>
      </c>
      <c r="F496" s="272">
        <v>20.357252529992444</v>
      </c>
      <c r="G496" s="282">
        <v>579.64599999999996</v>
      </c>
      <c r="H496" s="274" t="s">
        <v>203</v>
      </c>
      <c r="I496" s="274" t="s">
        <v>1291</v>
      </c>
      <c r="J496" s="274" t="s">
        <v>98</v>
      </c>
      <c r="K496" s="278" t="s">
        <v>205</v>
      </c>
      <c r="L496" s="274" t="s">
        <v>155</v>
      </c>
      <c r="M496" s="270"/>
      <c r="N496" s="270"/>
      <c r="O496" s="270"/>
    </row>
    <row r="497" spans="1:15" hidden="1">
      <c r="A497" s="280">
        <v>45738</v>
      </c>
      <c r="B497" s="270" t="s">
        <v>1092</v>
      </c>
      <c r="C497" s="276" t="s">
        <v>403</v>
      </c>
      <c r="D497" s="271" t="s">
        <v>502</v>
      </c>
      <c r="E497" s="281">
        <v>90100</v>
      </c>
      <c r="F497" s="272">
        <v>155.43969940273894</v>
      </c>
      <c r="G497" s="282">
        <v>579.64599999999996</v>
      </c>
      <c r="H497" s="274" t="s">
        <v>187</v>
      </c>
      <c r="I497" s="274" t="s">
        <v>1093</v>
      </c>
      <c r="J497" s="274" t="s">
        <v>98</v>
      </c>
      <c r="K497" s="278" t="s">
        <v>205</v>
      </c>
      <c r="L497" s="274" t="s">
        <v>155</v>
      </c>
      <c r="M497" s="270"/>
      <c r="N497" s="270"/>
      <c r="O497" s="270"/>
    </row>
    <row r="498" spans="1:15" hidden="1">
      <c r="A498" s="280">
        <v>45738</v>
      </c>
      <c r="B498" s="270" t="s">
        <v>1300</v>
      </c>
      <c r="C498" s="276" t="s">
        <v>175</v>
      </c>
      <c r="D498" s="271" t="s">
        <v>502</v>
      </c>
      <c r="E498" s="281">
        <v>15000</v>
      </c>
      <c r="F498" s="272">
        <v>25.877863385583616</v>
      </c>
      <c r="G498" s="282">
        <v>579.64599999999996</v>
      </c>
      <c r="H498" s="274" t="s">
        <v>187</v>
      </c>
      <c r="I498" s="274" t="s">
        <v>1094</v>
      </c>
      <c r="J498" s="274" t="s">
        <v>98</v>
      </c>
      <c r="K498" s="278" t="s">
        <v>205</v>
      </c>
      <c r="L498" s="274" t="s">
        <v>155</v>
      </c>
      <c r="M498" s="270"/>
      <c r="N498" s="270"/>
      <c r="O498" s="270"/>
    </row>
    <row r="499" spans="1:15" hidden="1">
      <c r="A499" s="280">
        <v>45738</v>
      </c>
      <c r="B499" s="270" t="s">
        <v>1299</v>
      </c>
      <c r="C499" s="276" t="s">
        <v>175</v>
      </c>
      <c r="D499" s="271" t="s">
        <v>502</v>
      </c>
      <c r="E499" s="281">
        <v>15000</v>
      </c>
      <c r="F499" s="272">
        <v>25.877863385583616</v>
      </c>
      <c r="G499" s="282">
        <v>579.64599999999996</v>
      </c>
      <c r="H499" s="274" t="s">
        <v>187</v>
      </c>
      <c r="I499" s="274" t="s">
        <v>1095</v>
      </c>
      <c r="J499" s="274" t="s">
        <v>98</v>
      </c>
      <c r="K499" s="278" t="s">
        <v>205</v>
      </c>
      <c r="L499" s="274" t="s">
        <v>155</v>
      </c>
      <c r="M499" s="270"/>
      <c r="N499" s="270"/>
      <c r="O499" s="270"/>
    </row>
    <row r="500" spans="1:15" hidden="1">
      <c r="A500" s="280">
        <v>45738</v>
      </c>
      <c r="B500" s="270" t="s">
        <v>1096</v>
      </c>
      <c r="C500" s="276" t="s">
        <v>175</v>
      </c>
      <c r="D500" s="271" t="s">
        <v>502</v>
      </c>
      <c r="E500" s="281">
        <v>50000</v>
      </c>
      <c r="F500" s="272">
        <v>86.259544618612054</v>
      </c>
      <c r="G500" s="282">
        <v>579.64599999999996</v>
      </c>
      <c r="H500" s="274" t="s">
        <v>187</v>
      </c>
      <c r="I500" s="274" t="s">
        <v>1097</v>
      </c>
      <c r="J500" s="274" t="s">
        <v>98</v>
      </c>
      <c r="K500" s="278" t="s">
        <v>205</v>
      </c>
      <c r="L500" s="274" t="s">
        <v>155</v>
      </c>
      <c r="M500" s="270"/>
      <c r="N500" s="270"/>
      <c r="O500" s="270"/>
    </row>
    <row r="501" spans="1:15" hidden="1">
      <c r="A501" s="280">
        <v>45738</v>
      </c>
      <c r="B501" s="270" t="s">
        <v>1098</v>
      </c>
      <c r="C501" s="276" t="s">
        <v>175</v>
      </c>
      <c r="D501" s="271" t="s">
        <v>502</v>
      </c>
      <c r="E501" s="281">
        <v>7000</v>
      </c>
      <c r="F501" s="272">
        <v>12.076336246605688</v>
      </c>
      <c r="G501" s="282">
        <v>579.64599999999996</v>
      </c>
      <c r="H501" s="274" t="s">
        <v>187</v>
      </c>
      <c r="I501" s="274" t="s">
        <v>1099</v>
      </c>
      <c r="J501" s="274" t="s">
        <v>98</v>
      </c>
      <c r="K501" s="278" t="s">
        <v>205</v>
      </c>
      <c r="L501" s="274" t="s">
        <v>155</v>
      </c>
      <c r="M501" s="270"/>
      <c r="N501" s="270"/>
      <c r="O501" s="270"/>
    </row>
    <row r="502" spans="1:15" hidden="1">
      <c r="A502" s="280">
        <v>45738</v>
      </c>
      <c r="B502" s="270" t="s">
        <v>1313</v>
      </c>
      <c r="C502" s="276" t="s">
        <v>179</v>
      </c>
      <c r="D502" s="271" t="s">
        <v>502</v>
      </c>
      <c r="E502" s="281">
        <v>225000</v>
      </c>
      <c r="F502" s="272">
        <v>388.16795078375424</v>
      </c>
      <c r="G502" s="282">
        <v>579.64599999999996</v>
      </c>
      <c r="H502" s="274" t="s">
        <v>343</v>
      </c>
      <c r="I502" s="274" t="s">
        <v>1188</v>
      </c>
      <c r="J502" s="274" t="s">
        <v>98</v>
      </c>
      <c r="K502" s="278" t="s">
        <v>205</v>
      </c>
      <c r="L502" s="274" t="s">
        <v>155</v>
      </c>
      <c r="M502" s="270"/>
      <c r="N502" s="270"/>
      <c r="O502" s="270"/>
    </row>
    <row r="503" spans="1:15" hidden="1">
      <c r="A503" s="280">
        <v>45738</v>
      </c>
      <c r="B503" s="270" t="s">
        <v>780</v>
      </c>
      <c r="C503" s="276" t="s">
        <v>175</v>
      </c>
      <c r="D503" s="271" t="s">
        <v>502</v>
      </c>
      <c r="E503" s="281">
        <v>7000</v>
      </c>
      <c r="F503" s="272">
        <v>12.076336246605688</v>
      </c>
      <c r="G503" s="282">
        <v>579.64599999999996</v>
      </c>
      <c r="H503" s="274" t="s">
        <v>343</v>
      </c>
      <c r="I503" s="274" t="s">
        <v>1189</v>
      </c>
      <c r="J503" s="274" t="s">
        <v>98</v>
      </c>
      <c r="K503" s="278" t="s">
        <v>205</v>
      </c>
      <c r="L503" s="274" t="s">
        <v>155</v>
      </c>
      <c r="M503" s="270"/>
      <c r="N503" s="270"/>
      <c r="O503" s="270"/>
    </row>
    <row r="504" spans="1:15" hidden="1">
      <c r="A504" s="280">
        <v>45738</v>
      </c>
      <c r="B504" s="270" t="s">
        <v>254</v>
      </c>
      <c r="C504" s="276" t="s">
        <v>179</v>
      </c>
      <c r="D504" s="270" t="s">
        <v>2343</v>
      </c>
      <c r="E504" s="281">
        <v>9600</v>
      </c>
      <c r="F504" s="272">
        <v>16.561832566773514</v>
      </c>
      <c r="G504" s="282">
        <v>579.64599999999996</v>
      </c>
      <c r="H504" s="274" t="s">
        <v>190</v>
      </c>
      <c r="I504" s="274" t="s">
        <v>1201</v>
      </c>
      <c r="J504" s="274" t="s">
        <v>98</v>
      </c>
      <c r="K504" s="278" t="s">
        <v>205</v>
      </c>
      <c r="L504" s="274" t="s">
        <v>155</v>
      </c>
      <c r="M504" s="270"/>
      <c r="N504" s="270"/>
      <c r="O504" s="270"/>
    </row>
    <row r="505" spans="1:15" hidden="1">
      <c r="A505" s="280">
        <v>45738</v>
      </c>
      <c r="B505" s="270" t="s">
        <v>574</v>
      </c>
      <c r="C505" s="276" t="s">
        <v>179</v>
      </c>
      <c r="D505" s="270" t="s">
        <v>2343</v>
      </c>
      <c r="E505" s="281">
        <v>8900</v>
      </c>
      <c r="F505" s="272">
        <v>15.354198942112946</v>
      </c>
      <c r="G505" s="282">
        <v>579.64599999999996</v>
      </c>
      <c r="H505" s="274" t="s">
        <v>193</v>
      </c>
      <c r="I505" s="274" t="s">
        <v>1221</v>
      </c>
      <c r="J505" s="274" t="s">
        <v>98</v>
      </c>
      <c r="K505" s="278" t="s">
        <v>205</v>
      </c>
      <c r="L505" s="274" t="s">
        <v>155</v>
      </c>
      <c r="M505" s="270"/>
      <c r="N505" s="270"/>
      <c r="O505" s="270"/>
    </row>
    <row r="506" spans="1:15" hidden="1">
      <c r="A506" s="280">
        <v>45738</v>
      </c>
      <c r="B506" s="270" t="s">
        <v>1235</v>
      </c>
      <c r="C506" s="276" t="s">
        <v>179</v>
      </c>
      <c r="D506" s="271" t="s">
        <v>117</v>
      </c>
      <c r="E506" s="281">
        <v>45000</v>
      </c>
      <c r="F506" s="272">
        <v>77.633590156750856</v>
      </c>
      <c r="G506" s="273">
        <v>579.64599999999996</v>
      </c>
      <c r="H506" s="274" t="s">
        <v>196</v>
      </c>
      <c r="I506" s="274" t="s">
        <v>1236</v>
      </c>
      <c r="J506" s="274" t="s">
        <v>98</v>
      </c>
      <c r="K506" s="274" t="s">
        <v>1285</v>
      </c>
      <c r="L506" s="274" t="s">
        <v>155</v>
      </c>
      <c r="M506" s="270"/>
      <c r="N506" s="270"/>
      <c r="O506" s="270"/>
    </row>
    <row r="507" spans="1:15" hidden="1">
      <c r="A507" s="280">
        <v>45738</v>
      </c>
      <c r="B507" s="270" t="s">
        <v>1242</v>
      </c>
      <c r="C507" s="276" t="s">
        <v>175</v>
      </c>
      <c r="D507" s="270" t="s">
        <v>2343</v>
      </c>
      <c r="E507" s="281">
        <v>25000</v>
      </c>
      <c r="F507" s="272">
        <v>43.129772309306027</v>
      </c>
      <c r="G507" s="273">
        <v>579.64599999999996</v>
      </c>
      <c r="H507" s="274" t="s">
        <v>497</v>
      </c>
      <c r="I507" s="274" t="s">
        <v>1243</v>
      </c>
      <c r="J507" s="274" t="s">
        <v>98</v>
      </c>
      <c r="K507" s="274" t="s">
        <v>1285</v>
      </c>
      <c r="L507" s="274" t="s">
        <v>155</v>
      </c>
      <c r="M507" s="270"/>
      <c r="N507" s="270"/>
      <c r="O507" s="270"/>
    </row>
    <row r="508" spans="1:15" hidden="1">
      <c r="A508" s="280">
        <v>45738</v>
      </c>
      <c r="B508" s="270" t="s">
        <v>267</v>
      </c>
      <c r="C508" s="276" t="s">
        <v>179</v>
      </c>
      <c r="D508" s="271" t="s">
        <v>117</v>
      </c>
      <c r="E508" s="281">
        <v>19200</v>
      </c>
      <c r="F508" s="272">
        <v>33.123665133547028</v>
      </c>
      <c r="G508" s="273">
        <v>579.64599999999996</v>
      </c>
      <c r="H508" s="274" t="s">
        <v>497</v>
      </c>
      <c r="I508" s="274" t="s">
        <v>1244</v>
      </c>
      <c r="J508" s="274" t="s">
        <v>98</v>
      </c>
      <c r="K508" s="274" t="s">
        <v>1285</v>
      </c>
      <c r="L508" s="274" t="s">
        <v>155</v>
      </c>
      <c r="M508" s="270"/>
      <c r="N508" s="270"/>
      <c r="O508" s="270"/>
    </row>
    <row r="509" spans="1:15" hidden="1">
      <c r="A509" s="280">
        <v>45738</v>
      </c>
      <c r="B509" s="270" t="s">
        <v>269</v>
      </c>
      <c r="C509" s="276" t="s">
        <v>179</v>
      </c>
      <c r="D509" s="270" t="s">
        <v>2343</v>
      </c>
      <c r="E509" s="281">
        <v>9600</v>
      </c>
      <c r="F509" s="272">
        <v>16.561832566773514</v>
      </c>
      <c r="G509" s="273">
        <v>579.64599999999996</v>
      </c>
      <c r="H509" s="274" t="s">
        <v>217</v>
      </c>
      <c r="I509" s="274" t="s">
        <v>1254</v>
      </c>
      <c r="J509" s="274" t="s">
        <v>98</v>
      </c>
      <c r="K509" s="274" t="s">
        <v>1285</v>
      </c>
      <c r="L509" s="274" t="s">
        <v>155</v>
      </c>
      <c r="M509" s="270"/>
      <c r="N509" s="270"/>
      <c r="O509" s="270"/>
    </row>
    <row r="510" spans="1:15" hidden="1">
      <c r="A510" s="280">
        <v>45739</v>
      </c>
      <c r="B510" s="270" t="s">
        <v>1100</v>
      </c>
      <c r="C510" s="276" t="s">
        <v>179</v>
      </c>
      <c r="D510" s="270" t="s">
        <v>2343</v>
      </c>
      <c r="E510" s="281">
        <v>140000</v>
      </c>
      <c r="F510" s="272">
        <v>241.52672493211375</v>
      </c>
      <c r="G510" s="273">
        <v>579.64599999999996</v>
      </c>
      <c r="H510" s="274" t="s">
        <v>187</v>
      </c>
      <c r="I510" s="274" t="s">
        <v>1101</v>
      </c>
      <c r="J510" s="274" t="s">
        <v>98</v>
      </c>
      <c r="K510" s="274" t="s">
        <v>1285</v>
      </c>
      <c r="L510" s="274" t="s">
        <v>155</v>
      </c>
      <c r="M510" s="270"/>
      <c r="N510" s="270"/>
      <c r="O510" s="270"/>
    </row>
    <row r="511" spans="1:15" hidden="1">
      <c r="A511" s="280">
        <v>45739</v>
      </c>
      <c r="B511" s="270" t="s">
        <v>1102</v>
      </c>
      <c r="C511" s="276" t="s">
        <v>179</v>
      </c>
      <c r="D511" s="270" t="s">
        <v>2343</v>
      </c>
      <c r="E511" s="281">
        <v>140000</v>
      </c>
      <c r="F511" s="272">
        <v>241.52672493211375</v>
      </c>
      <c r="G511" s="273">
        <v>579.64599999999996</v>
      </c>
      <c r="H511" s="274" t="s">
        <v>187</v>
      </c>
      <c r="I511" s="274" t="s">
        <v>1103</v>
      </c>
      <c r="J511" s="274" t="s">
        <v>98</v>
      </c>
      <c r="K511" s="274" t="s">
        <v>1285</v>
      </c>
      <c r="L511" s="274" t="s">
        <v>155</v>
      </c>
      <c r="M511" s="270"/>
      <c r="N511" s="270"/>
      <c r="O511" s="270"/>
    </row>
    <row r="512" spans="1:15" hidden="1">
      <c r="A512" s="280">
        <v>45740</v>
      </c>
      <c r="B512" s="270" t="s">
        <v>1270</v>
      </c>
      <c r="C512" s="270" t="s">
        <v>272</v>
      </c>
      <c r="D512" s="270" t="s">
        <v>2343</v>
      </c>
      <c r="E512" s="281">
        <v>180000</v>
      </c>
      <c r="F512" s="272">
        <v>310.53436062700342</v>
      </c>
      <c r="G512" s="282">
        <v>579.64599999999996</v>
      </c>
      <c r="H512" s="274" t="s">
        <v>203</v>
      </c>
      <c r="I512" s="274" t="s">
        <v>1292</v>
      </c>
      <c r="J512" s="274" t="s">
        <v>98</v>
      </c>
      <c r="K512" s="278" t="s">
        <v>205</v>
      </c>
      <c r="L512" s="274" t="s">
        <v>155</v>
      </c>
      <c r="M512" s="270"/>
      <c r="N512" s="270"/>
      <c r="O512" s="270"/>
    </row>
    <row r="513" spans="1:15" hidden="1">
      <c r="A513" s="280">
        <v>45740</v>
      </c>
      <c r="B513" s="270" t="s">
        <v>1271</v>
      </c>
      <c r="C513" s="270" t="s">
        <v>272</v>
      </c>
      <c r="D513" s="270" t="s">
        <v>2343</v>
      </c>
      <c r="E513" s="281">
        <v>20000</v>
      </c>
      <c r="F513" s="272">
        <v>34.503817847444822</v>
      </c>
      <c r="G513" s="273">
        <v>579.64599999999996</v>
      </c>
      <c r="H513" s="274" t="s">
        <v>203</v>
      </c>
      <c r="I513" s="274" t="s">
        <v>1293</v>
      </c>
      <c r="J513" s="274" t="s">
        <v>98</v>
      </c>
      <c r="K513" s="274" t="s">
        <v>1285</v>
      </c>
      <c r="L513" s="274" t="s">
        <v>155</v>
      </c>
      <c r="M513" s="270"/>
      <c r="N513" s="270"/>
      <c r="O513" s="270"/>
    </row>
    <row r="514" spans="1:15" hidden="1">
      <c r="A514" s="280">
        <v>45740</v>
      </c>
      <c r="B514" s="270" t="s">
        <v>928</v>
      </c>
      <c r="C514" s="277" t="s">
        <v>2342</v>
      </c>
      <c r="D514" s="270" t="s">
        <v>118</v>
      </c>
      <c r="E514" s="281">
        <v>7780</v>
      </c>
      <c r="F514" s="272">
        <v>13.421985142656036</v>
      </c>
      <c r="G514" s="282">
        <v>579.64599999999996</v>
      </c>
      <c r="H514" s="274" t="s">
        <v>643</v>
      </c>
      <c r="I514" s="274" t="s">
        <v>981</v>
      </c>
      <c r="J514" s="274" t="s">
        <v>98</v>
      </c>
      <c r="K514" s="278" t="s">
        <v>205</v>
      </c>
      <c r="L514" s="274" t="s">
        <v>155</v>
      </c>
      <c r="M514" s="270"/>
      <c r="N514" s="270"/>
      <c r="O514" s="270"/>
    </row>
    <row r="515" spans="1:15" hidden="1">
      <c r="A515" s="280">
        <v>45740</v>
      </c>
      <c r="B515" s="270" t="s">
        <v>929</v>
      </c>
      <c r="C515" s="277" t="s">
        <v>2342</v>
      </c>
      <c r="D515" s="270" t="s">
        <v>118</v>
      </c>
      <c r="E515" s="281">
        <v>6300</v>
      </c>
      <c r="F515" s="272">
        <v>10.868702621945118</v>
      </c>
      <c r="G515" s="282">
        <v>579.64599999999996</v>
      </c>
      <c r="H515" s="274" t="s">
        <v>643</v>
      </c>
      <c r="I515" s="274" t="s">
        <v>982</v>
      </c>
      <c r="J515" s="274" t="s">
        <v>98</v>
      </c>
      <c r="K515" s="278" t="s">
        <v>205</v>
      </c>
      <c r="L515" s="274" t="s">
        <v>155</v>
      </c>
      <c r="M515" s="270"/>
      <c r="N515" s="270"/>
      <c r="O515" s="270"/>
    </row>
    <row r="516" spans="1:15" hidden="1">
      <c r="A516" s="280">
        <v>45740</v>
      </c>
      <c r="B516" s="270" t="s">
        <v>1314</v>
      </c>
      <c r="C516" s="276" t="s">
        <v>175</v>
      </c>
      <c r="D516" s="271" t="s">
        <v>117</v>
      </c>
      <c r="E516" s="281">
        <v>42000</v>
      </c>
      <c r="F516" s="272">
        <v>72.458017479634123</v>
      </c>
      <c r="G516" s="273">
        <v>579.64599999999996</v>
      </c>
      <c r="H516" s="274" t="s">
        <v>643</v>
      </c>
      <c r="I516" s="274" t="s">
        <v>983</v>
      </c>
      <c r="J516" s="274" t="s">
        <v>98</v>
      </c>
      <c r="K516" s="274" t="s">
        <v>1285</v>
      </c>
      <c r="L516" s="274" t="s">
        <v>155</v>
      </c>
      <c r="M516" s="270"/>
      <c r="N516" s="270"/>
      <c r="O516" s="270"/>
    </row>
    <row r="517" spans="1:15" hidden="1">
      <c r="A517" s="280">
        <v>45740</v>
      </c>
      <c r="B517" s="270" t="s">
        <v>1104</v>
      </c>
      <c r="C517" s="276" t="s">
        <v>179</v>
      </c>
      <c r="D517" s="271" t="s">
        <v>502</v>
      </c>
      <c r="E517" s="281">
        <v>30000</v>
      </c>
      <c r="F517" s="272">
        <v>51.755726771167232</v>
      </c>
      <c r="G517" s="273">
        <v>579.64599999999996</v>
      </c>
      <c r="H517" s="274" t="s">
        <v>187</v>
      </c>
      <c r="I517" s="274" t="s">
        <v>1105</v>
      </c>
      <c r="J517" s="274" t="s">
        <v>98</v>
      </c>
      <c r="K517" s="274" t="s">
        <v>1285</v>
      </c>
      <c r="L517" s="274" t="s">
        <v>155</v>
      </c>
      <c r="M517" s="270"/>
      <c r="N517" s="270"/>
      <c r="O517" s="270"/>
    </row>
    <row r="518" spans="1:15" hidden="1">
      <c r="A518" s="280">
        <v>45740</v>
      </c>
      <c r="B518" s="270" t="s">
        <v>1106</v>
      </c>
      <c r="C518" s="276" t="s">
        <v>175</v>
      </c>
      <c r="D518" s="271" t="s">
        <v>502</v>
      </c>
      <c r="E518" s="281">
        <v>68000</v>
      </c>
      <c r="F518" s="272">
        <v>117.3129806813124</v>
      </c>
      <c r="G518" s="273">
        <v>579.64599999999996</v>
      </c>
      <c r="H518" s="274" t="s">
        <v>187</v>
      </c>
      <c r="I518" s="274" t="s">
        <v>1107</v>
      </c>
      <c r="J518" s="274" t="s">
        <v>98</v>
      </c>
      <c r="K518" s="274" t="s">
        <v>1285</v>
      </c>
      <c r="L518" s="274" t="s">
        <v>155</v>
      </c>
      <c r="M518" s="270"/>
      <c r="N518" s="270"/>
      <c r="O518" s="270"/>
    </row>
    <row r="519" spans="1:15" hidden="1">
      <c r="A519" s="280">
        <v>45740</v>
      </c>
      <c r="B519" s="270" t="s">
        <v>1137</v>
      </c>
      <c r="C519" s="276" t="s">
        <v>175</v>
      </c>
      <c r="D519" s="271" t="s">
        <v>502</v>
      </c>
      <c r="E519" s="281">
        <v>5000</v>
      </c>
      <c r="F519" s="272">
        <v>8.6259544618612054</v>
      </c>
      <c r="G519" s="273">
        <v>579.64599999999996</v>
      </c>
      <c r="H519" s="274" t="s">
        <v>176</v>
      </c>
      <c r="I519" s="274" t="s">
        <v>1138</v>
      </c>
      <c r="J519" s="274" t="s">
        <v>98</v>
      </c>
      <c r="K519" s="274" t="s">
        <v>1285</v>
      </c>
      <c r="L519" s="274" t="s">
        <v>155</v>
      </c>
      <c r="M519" s="270"/>
      <c r="N519" s="270"/>
      <c r="O519" s="270"/>
    </row>
    <row r="520" spans="1:15" hidden="1">
      <c r="A520" s="280">
        <v>45740</v>
      </c>
      <c r="B520" s="270" t="s">
        <v>1139</v>
      </c>
      <c r="C520" s="276" t="s">
        <v>179</v>
      </c>
      <c r="D520" s="271" t="s">
        <v>502</v>
      </c>
      <c r="E520" s="281">
        <v>45000</v>
      </c>
      <c r="F520" s="272">
        <v>77.633590156750856</v>
      </c>
      <c r="G520" s="273">
        <v>579.64599999999996</v>
      </c>
      <c r="H520" s="274" t="s">
        <v>176</v>
      </c>
      <c r="I520" s="274" t="s">
        <v>1140</v>
      </c>
      <c r="J520" s="274" t="s">
        <v>98</v>
      </c>
      <c r="K520" s="274" t="s">
        <v>1285</v>
      </c>
      <c r="L520" s="274" t="s">
        <v>155</v>
      </c>
      <c r="M520" s="270"/>
      <c r="N520" s="270"/>
      <c r="O520" s="270"/>
    </row>
    <row r="521" spans="1:15" hidden="1">
      <c r="A521" s="280">
        <v>45740</v>
      </c>
      <c r="B521" s="270" t="s">
        <v>1190</v>
      </c>
      <c r="C521" s="276" t="s">
        <v>179</v>
      </c>
      <c r="D521" s="271" t="s">
        <v>502</v>
      </c>
      <c r="E521" s="281">
        <v>30000</v>
      </c>
      <c r="F521" s="272">
        <v>51.755726771167232</v>
      </c>
      <c r="G521" s="273">
        <v>579.64599999999996</v>
      </c>
      <c r="H521" s="274" t="s">
        <v>343</v>
      </c>
      <c r="I521" s="274" t="s">
        <v>1191</v>
      </c>
      <c r="J521" s="274" t="s">
        <v>98</v>
      </c>
      <c r="K521" s="274" t="s">
        <v>1285</v>
      </c>
      <c r="L521" s="274" t="s">
        <v>155</v>
      </c>
      <c r="M521" s="270"/>
      <c r="N521" s="270"/>
      <c r="O521" s="270"/>
    </row>
    <row r="522" spans="1:15" hidden="1">
      <c r="A522" s="280">
        <v>45740</v>
      </c>
      <c r="B522" s="270" t="s">
        <v>927</v>
      </c>
      <c r="C522" s="276" t="s">
        <v>1321</v>
      </c>
      <c r="D522" s="270" t="s">
        <v>118</v>
      </c>
      <c r="E522" s="281">
        <v>101000</v>
      </c>
      <c r="F522" s="272">
        <v>174.24428012959635</v>
      </c>
      <c r="G522" s="273">
        <v>579.64599999999996</v>
      </c>
      <c r="H522" s="274" t="s">
        <v>196</v>
      </c>
      <c r="I522" s="274" t="s">
        <v>980</v>
      </c>
      <c r="J522" s="274" t="s">
        <v>98</v>
      </c>
      <c r="K522" s="274" t="s">
        <v>1285</v>
      </c>
      <c r="L522" s="274" t="s">
        <v>155</v>
      </c>
      <c r="M522" s="270"/>
      <c r="N522" s="270"/>
      <c r="O522" s="270"/>
    </row>
    <row r="523" spans="1:15" hidden="1">
      <c r="A523" s="280">
        <v>45740</v>
      </c>
      <c r="B523" s="270" t="s">
        <v>930</v>
      </c>
      <c r="C523" s="276" t="s">
        <v>179</v>
      </c>
      <c r="D523" s="271" t="s">
        <v>117</v>
      </c>
      <c r="E523" s="281">
        <v>275000</v>
      </c>
      <c r="F523" s="272">
        <v>474.42749540236633</v>
      </c>
      <c r="G523" s="282">
        <v>579.64599999999996</v>
      </c>
      <c r="H523" s="274" t="s">
        <v>196</v>
      </c>
      <c r="I523" s="274" t="s">
        <v>984</v>
      </c>
      <c r="J523" s="274" t="s">
        <v>98</v>
      </c>
      <c r="K523" s="278" t="s">
        <v>205</v>
      </c>
      <c r="L523" s="274" t="s">
        <v>155</v>
      </c>
      <c r="M523" s="270"/>
      <c r="N523" s="270"/>
      <c r="O523" s="270"/>
    </row>
    <row r="524" spans="1:15" hidden="1">
      <c r="A524" s="280">
        <v>45741</v>
      </c>
      <c r="B524" s="270" t="s">
        <v>1141</v>
      </c>
      <c r="C524" s="276" t="s">
        <v>175</v>
      </c>
      <c r="D524" s="271" t="s">
        <v>502</v>
      </c>
      <c r="E524" s="281">
        <v>15000</v>
      </c>
      <c r="F524" s="272">
        <v>25.877863385583616</v>
      </c>
      <c r="G524" s="273">
        <v>579.64599999999996</v>
      </c>
      <c r="H524" s="274" t="s">
        <v>176</v>
      </c>
      <c r="I524" s="274" t="s">
        <v>1143</v>
      </c>
      <c r="J524" s="274" t="s">
        <v>98</v>
      </c>
      <c r="K524" s="274" t="s">
        <v>1285</v>
      </c>
      <c r="L524" s="274" t="s">
        <v>155</v>
      </c>
      <c r="M524" s="270"/>
      <c r="N524" s="270"/>
      <c r="O524" s="270"/>
    </row>
    <row r="525" spans="1:15" hidden="1">
      <c r="A525" s="280">
        <v>45741</v>
      </c>
      <c r="B525" s="270" t="s">
        <v>1144</v>
      </c>
      <c r="C525" s="276" t="s">
        <v>179</v>
      </c>
      <c r="D525" s="271" t="s">
        <v>502</v>
      </c>
      <c r="E525" s="281">
        <v>15000</v>
      </c>
      <c r="F525" s="272">
        <v>25.877863385583616</v>
      </c>
      <c r="G525" s="273">
        <v>579.64599999999996</v>
      </c>
      <c r="H525" s="274" t="s">
        <v>176</v>
      </c>
      <c r="I525" s="274" t="s">
        <v>1145</v>
      </c>
      <c r="J525" s="274" t="s">
        <v>98</v>
      </c>
      <c r="K525" s="274" t="s">
        <v>1285</v>
      </c>
      <c r="L525" s="274" t="s">
        <v>155</v>
      </c>
      <c r="M525" s="270"/>
      <c r="N525" s="270"/>
      <c r="O525" s="270"/>
    </row>
    <row r="526" spans="1:15" hidden="1">
      <c r="A526" s="280">
        <v>45741</v>
      </c>
      <c r="B526" s="270" t="s">
        <v>2349</v>
      </c>
      <c r="C526" s="270" t="s">
        <v>322</v>
      </c>
      <c r="D526" s="271" t="s">
        <v>502</v>
      </c>
      <c r="E526" s="281">
        <v>10000</v>
      </c>
      <c r="F526" s="272">
        <v>17.251908923722411</v>
      </c>
      <c r="G526" s="273">
        <v>579.64599999999996</v>
      </c>
      <c r="H526" s="274" t="s">
        <v>343</v>
      </c>
      <c r="I526" s="274" t="s">
        <v>1192</v>
      </c>
      <c r="J526" s="274" t="s">
        <v>98</v>
      </c>
      <c r="K526" s="274" t="s">
        <v>1285</v>
      </c>
      <c r="L526" s="274" t="s">
        <v>155</v>
      </c>
      <c r="M526" s="270"/>
      <c r="N526" s="270"/>
      <c r="O526" s="270"/>
    </row>
    <row r="527" spans="1:15" hidden="1">
      <c r="A527" s="280">
        <v>45741</v>
      </c>
      <c r="B527" s="270" t="s">
        <v>925</v>
      </c>
      <c r="C527" s="277" t="s">
        <v>2342</v>
      </c>
      <c r="D527" s="270" t="s">
        <v>118</v>
      </c>
      <c r="E527" s="281">
        <v>11820</v>
      </c>
      <c r="F527" s="272">
        <v>20.391756347839891</v>
      </c>
      <c r="G527" s="273">
        <v>579.64599999999996</v>
      </c>
      <c r="H527" s="274" t="s">
        <v>343</v>
      </c>
      <c r="I527" s="274" t="s">
        <v>985</v>
      </c>
      <c r="J527" s="274" t="s">
        <v>98</v>
      </c>
      <c r="K527" s="274" t="s">
        <v>1285</v>
      </c>
      <c r="L527" s="274" t="s">
        <v>155</v>
      </c>
      <c r="M527" s="270"/>
      <c r="N527" s="270"/>
      <c r="O527" s="270"/>
    </row>
    <row r="528" spans="1:15" hidden="1">
      <c r="A528" s="280">
        <v>45742</v>
      </c>
      <c r="B528" s="270" t="s">
        <v>1222</v>
      </c>
      <c r="C528" s="276" t="s">
        <v>175</v>
      </c>
      <c r="D528" s="271" t="s">
        <v>117</v>
      </c>
      <c r="E528" s="281">
        <v>10000</v>
      </c>
      <c r="F528" s="272">
        <v>17.251908923722411</v>
      </c>
      <c r="G528" s="273">
        <v>579.64599999999996</v>
      </c>
      <c r="H528" s="274" t="s">
        <v>193</v>
      </c>
      <c r="I528" s="274" t="s">
        <v>1223</v>
      </c>
      <c r="J528" s="274" t="s">
        <v>98</v>
      </c>
      <c r="K528" s="274" t="s">
        <v>1285</v>
      </c>
      <c r="L528" s="274" t="s">
        <v>155</v>
      </c>
      <c r="M528" s="270"/>
      <c r="N528" s="270"/>
      <c r="O528" s="270"/>
    </row>
    <row r="529" spans="1:15" hidden="1">
      <c r="A529" s="280">
        <v>45741</v>
      </c>
      <c r="B529" s="270" t="s">
        <v>1224</v>
      </c>
      <c r="C529" s="270" t="s">
        <v>327</v>
      </c>
      <c r="D529" s="271" t="s">
        <v>117</v>
      </c>
      <c r="E529" s="281">
        <v>14000</v>
      </c>
      <c r="F529" s="272">
        <v>24.152672493211377</v>
      </c>
      <c r="G529" s="273">
        <v>579.64599999999996</v>
      </c>
      <c r="H529" s="274" t="s">
        <v>193</v>
      </c>
      <c r="I529" s="274" t="s">
        <v>1225</v>
      </c>
      <c r="J529" s="274" t="s">
        <v>98</v>
      </c>
      <c r="K529" s="274" t="s">
        <v>1285</v>
      </c>
      <c r="L529" s="274" t="s">
        <v>155</v>
      </c>
      <c r="M529" s="270"/>
      <c r="N529" s="270"/>
      <c r="O529" s="270"/>
    </row>
    <row r="530" spans="1:15" hidden="1">
      <c r="A530" s="280">
        <v>45740</v>
      </c>
      <c r="B530" s="270" t="s">
        <v>1226</v>
      </c>
      <c r="C530" s="276" t="s">
        <v>179</v>
      </c>
      <c r="D530" s="271" t="s">
        <v>117</v>
      </c>
      <c r="E530" s="281">
        <v>135000</v>
      </c>
      <c r="F530" s="272">
        <v>232.90077047025255</v>
      </c>
      <c r="G530" s="282">
        <v>579.64599999999996</v>
      </c>
      <c r="H530" s="274" t="s">
        <v>193</v>
      </c>
      <c r="I530" s="274" t="s">
        <v>1227</v>
      </c>
      <c r="J530" s="274" t="s">
        <v>98</v>
      </c>
      <c r="K530" s="278" t="s">
        <v>205</v>
      </c>
      <c r="L530" s="274" t="s">
        <v>155</v>
      </c>
      <c r="M530" s="270"/>
      <c r="N530" s="270"/>
      <c r="O530" s="270"/>
    </row>
    <row r="531" spans="1:15" hidden="1">
      <c r="A531" s="280">
        <v>45741</v>
      </c>
      <c r="B531" s="270" t="s">
        <v>931</v>
      </c>
      <c r="C531" s="276" t="s">
        <v>1321</v>
      </c>
      <c r="D531" s="270" t="s">
        <v>118</v>
      </c>
      <c r="E531" s="281">
        <v>25000</v>
      </c>
      <c r="F531" s="272">
        <v>43.129772309306027</v>
      </c>
      <c r="G531" s="282">
        <v>579.64599999999996</v>
      </c>
      <c r="H531" s="274" t="s">
        <v>196</v>
      </c>
      <c r="I531" s="274" t="s">
        <v>986</v>
      </c>
      <c r="J531" s="274" t="s">
        <v>98</v>
      </c>
      <c r="K531" s="278" t="s">
        <v>205</v>
      </c>
      <c r="L531" s="274" t="s">
        <v>155</v>
      </c>
      <c r="M531" s="270"/>
      <c r="N531" s="270"/>
      <c r="O531" s="270"/>
    </row>
    <row r="532" spans="1:15" hidden="1">
      <c r="A532" s="280">
        <v>45741</v>
      </c>
      <c r="B532" s="270" t="s">
        <v>1032</v>
      </c>
      <c r="C532" s="270" t="s">
        <v>127</v>
      </c>
      <c r="D532" s="270" t="s">
        <v>119</v>
      </c>
      <c r="E532" s="281">
        <v>1311000</v>
      </c>
      <c r="F532" s="272">
        <v>2261.725259900008</v>
      </c>
      <c r="G532" s="282">
        <v>579.64599999999996</v>
      </c>
      <c r="H532" s="274" t="s">
        <v>148</v>
      </c>
      <c r="I532" s="274" t="s">
        <v>1071</v>
      </c>
      <c r="J532" s="274" t="s">
        <v>98</v>
      </c>
      <c r="K532" s="278" t="s">
        <v>205</v>
      </c>
      <c r="L532" s="274" t="s">
        <v>155</v>
      </c>
      <c r="M532" s="270"/>
      <c r="N532" s="270"/>
      <c r="O532" s="270"/>
    </row>
    <row r="533" spans="1:15" hidden="1">
      <c r="A533" s="280">
        <v>45741</v>
      </c>
      <c r="B533" s="270" t="s">
        <v>1033</v>
      </c>
      <c r="C533" s="270" t="s">
        <v>127</v>
      </c>
      <c r="D533" s="270" t="s">
        <v>118</v>
      </c>
      <c r="E533" s="281">
        <v>230000</v>
      </c>
      <c r="F533" s="272">
        <v>396.79390524561546</v>
      </c>
      <c r="G533" s="282">
        <v>579.64599999999996</v>
      </c>
      <c r="H533" s="274" t="s">
        <v>148</v>
      </c>
      <c r="I533" s="274" t="s">
        <v>1072</v>
      </c>
      <c r="J533" s="274" t="s">
        <v>98</v>
      </c>
      <c r="K533" s="278" t="s">
        <v>205</v>
      </c>
      <c r="L533" s="274" t="s">
        <v>155</v>
      </c>
      <c r="M533" s="270"/>
      <c r="N533" s="270"/>
      <c r="O533" s="270"/>
    </row>
    <row r="534" spans="1:15" hidden="1">
      <c r="A534" s="280">
        <v>45741</v>
      </c>
      <c r="B534" s="270" t="s">
        <v>1034</v>
      </c>
      <c r="C534" s="270" t="s">
        <v>127</v>
      </c>
      <c r="D534" s="271" t="s">
        <v>117</v>
      </c>
      <c r="E534" s="281">
        <v>200000</v>
      </c>
      <c r="F534" s="272">
        <v>345.03817847444822</v>
      </c>
      <c r="G534" s="282">
        <v>579.64599999999996</v>
      </c>
      <c r="H534" s="274" t="s">
        <v>148</v>
      </c>
      <c r="I534" s="274" t="s">
        <v>1073</v>
      </c>
      <c r="J534" s="274" t="s">
        <v>98</v>
      </c>
      <c r="K534" s="278" t="s">
        <v>205</v>
      </c>
      <c r="L534" s="274" t="s">
        <v>155</v>
      </c>
      <c r="M534" s="270"/>
      <c r="N534" s="270"/>
      <c r="O534" s="270"/>
    </row>
    <row r="535" spans="1:15" hidden="1">
      <c r="A535" s="280">
        <v>45741</v>
      </c>
      <c r="B535" s="270" t="s">
        <v>1035</v>
      </c>
      <c r="C535" s="270" t="s">
        <v>127</v>
      </c>
      <c r="D535" s="271" t="s">
        <v>117</v>
      </c>
      <c r="E535" s="281">
        <v>200000</v>
      </c>
      <c r="F535" s="272">
        <v>345.03817847444822</v>
      </c>
      <c r="G535" s="282">
        <v>579.64599999999996</v>
      </c>
      <c r="H535" s="274" t="s">
        <v>148</v>
      </c>
      <c r="I535" s="274" t="s">
        <v>1074</v>
      </c>
      <c r="J535" s="274" t="s">
        <v>98</v>
      </c>
      <c r="K535" s="278" t="s">
        <v>205</v>
      </c>
      <c r="L535" s="274" t="s">
        <v>155</v>
      </c>
      <c r="M535" s="270"/>
      <c r="N535" s="270"/>
      <c r="O535" s="270"/>
    </row>
    <row r="536" spans="1:15" hidden="1">
      <c r="A536" s="280">
        <v>45741</v>
      </c>
      <c r="B536" s="270" t="s">
        <v>1036</v>
      </c>
      <c r="C536" s="270" t="s">
        <v>127</v>
      </c>
      <c r="D536" s="271" t="s">
        <v>117</v>
      </c>
      <c r="E536" s="281">
        <v>200000</v>
      </c>
      <c r="F536" s="272">
        <v>345.03817847444822</v>
      </c>
      <c r="G536" s="282">
        <v>579.64599999999996</v>
      </c>
      <c r="H536" s="274" t="s">
        <v>148</v>
      </c>
      <c r="I536" s="274" t="s">
        <v>1075</v>
      </c>
      <c r="J536" s="274" t="s">
        <v>98</v>
      </c>
      <c r="K536" s="278" t="s">
        <v>205</v>
      </c>
      <c r="L536" s="274" t="s">
        <v>155</v>
      </c>
      <c r="M536" s="270"/>
      <c r="N536" s="270"/>
      <c r="O536" s="270"/>
    </row>
    <row r="537" spans="1:15" hidden="1">
      <c r="A537" s="280">
        <v>45741</v>
      </c>
      <c r="B537" s="270" t="s">
        <v>1037</v>
      </c>
      <c r="C537" s="270" t="s">
        <v>127</v>
      </c>
      <c r="D537" s="271" t="s">
        <v>117</v>
      </c>
      <c r="E537" s="281">
        <v>551482</v>
      </c>
      <c r="F537" s="272">
        <v>951.41172370722825</v>
      </c>
      <c r="G537" s="282">
        <v>579.64599999999996</v>
      </c>
      <c r="H537" s="274" t="s">
        <v>148</v>
      </c>
      <c r="I537" s="274" t="s">
        <v>1076</v>
      </c>
      <c r="J537" s="274" t="s">
        <v>98</v>
      </c>
      <c r="K537" s="278" t="s">
        <v>205</v>
      </c>
      <c r="L537" s="274" t="s">
        <v>155</v>
      </c>
      <c r="M537" s="270"/>
      <c r="N537" s="270"/>
      <c r="O537" s="270"/>
    </row>
    <row r="538" spans="1:15" hidden="1">
      <c r="A538" s="280">
        <v>45741</v>
      </c>
      <c r="B538" s="270" t="s">
        <v>1038</v>
      </c>
      <c r="C538" s="270" t="s">
        <v>127</v>
      </c>
      <c r="D538" s="270" t="s">
        <v>120</v>
      </c>
      <c r="E538" s="281">
        <v>238140</v>
      </c>
      <c r="F538" s="272">
        <v>410.83695910952548</v>
      </c>
      <c r="G538" s="282">
        <v>579.64599999999996</v>
      </c>
      <c r="H538" s="274" t="s">
        <v>148</v>
      </c>
      <c r="I538" s="274" t="s">
        <v>1077</v>
      </c>
      <c r="J538" s="274" t="s">
        <v>98</v>
      </c>
      <c r="K538" s="278" t="s">
        <v>205</v>
      </c>
      <c r="L538" s="274" t="s">
        <v>155</v>
      </c>
      <c r="M538" s="270"/>
      <c r="N538" s="270"/>
      <c r="O538" s="270"/>
    </row>
    <row r="539" spans="1:15" hidden="1">
      <c r="A539" s="280">
        <v>45741</v>
      </c>
      <c r="B539" s="270" t="s">
        <v>1039</v>
      </c>
      <c r="C539" s="270" t="s">
        <v>127</v>
      </c>
      <c r="D539" s="271" t="s">
        <v>117</v>
      </c>
      <c r="E539" s="281">
        <v>193548</v>
      </c>
      <c r="F539" s="272">
        <v>333.9072468368625</v>
      </c>
      <c r="G539" s="282">
        <v>579.64599999999996</v>
      </c>
      <c r="H539" s="274" t="s">
        <v>148</v>
      </c>
      <c r="I539" s="274" t="s">
        <v>1278</v>
      </c>
      <c r="J539" s="274" t="s">
        <v>98</v>
      </c>
      <c r="K539" s="278" t="s">
        <v>205</v>
      </c>
      <c r="L539" s="274" t="s">
        <v>155</v>
      </c>
      <c r="M539" s="270"/>
      <c r="N539" s="270"/>
      <c r="O539" s="270"/>
    </row>
    <row r="540" spans="1:15" hidden="1">
      <c r="A540" s="280">
        <v>45742</v>
      </c>
      <c r="B540" s="270" t="s">
        <v>677</v>
      </c>
      <c r="C540" s="270" t="s">
        <v>317</v>
      </c>
      <c r="D540" s="270" t="s">
        <v>118</v>
      </c>
      <c r="E540" s="281">
        <v>20000</v>
      </c>
      <c r="F540" s="272">
        <v>34.503817847444822</v>
      </c>
      <c r="G540" s="282">
        <v>579.64599999999996</v>
      </c>
      <c r="H540" s="274" t="s">
        <v>643</v>
      </c>
      <c r="I540" s="274" t="s">
        <v>987</v>
      </c>
      <c r="J540" s="274" t="s">
        <v>98</v>
      </c>
      <c r="K540" s="278" t="s">
        <v>205</v>
      </c>
      <c r="L540" s="274" t="s">
        <v>155</v>
      </c>
      <c r="M540" s="270"/>
      <c r="N540" s="270"/>
      <c r="O540" s="270"/>
    </row>
    <row r="541" spans="1:15" hidden="1">
      <c r="A541" s="280">
        <v>45742</v>
      </c>
      <c r="B541" s="270" t="s">
        <v>1173</v>
      </c>
      <c r="C541" s="276" t="s">
        <v>179</v>
      </c>
      <c r="D541" s="271" t="s">
        <v>502</v>
      </c>
      <c r="E541" s="281">
        <v>75000</v>
      </c>
      <c r="F541" s="272">
        <v>129.38931692791809</v>
      </c>
      <c r="G541" s="282">
        <v>579.64599999999996</v>
      </c>
      <c r="H541" s="274" t="s">
        <v>332</v>
      </c>
      <c r="I541" s="274" t="s">
        <v>1174</v>
      </c>
      <c r="J541" s="274" t="s">
        <v>98</v>
      </c>
      <c r="K541" s="278" t="s">
        <v>205</v>
      </c>
      <c r="L541" s="274" t="s">
        <v>155</v>
      </c>
      <c r="M541" s="270"/>
      <c r="N541" s="270"/>
      <c r="O541" s="270"/>
    </row>
    <row r="542" spans="1:15" hidden="1">
      <c r="A542" s="280">
        <v>45742</v>
      </c>
      <c r="B542" s="270" t="s">
        <v>384</v>
      </c>
      <c r="C542" s="276" t="s">
        <v>175</v>
      </c>
      <c r="D542" s="271" t="s">
        <v>502</v>
      </c>
      <c r="E542" s="281">
        <v>3000</v>
      </c>
      <c r="F542" s="272">
        <v>5.1755726771167234</v>
      </c>
      <c r="G542" s="273">
        <v>579.64599999999996</v>
      </c>
      <c r="H542" s="274" t="s">
        <v>332</v>
      </c>
      <c r="I542" s="274" t="s">
        <v>1175</v>
      </c>
      <c r="J542" s="274" t="s">
        <v>98</v>
      </c>
      <c r="K542" s="274" t="s">
        <v>1285</v>
      </c>
      <c r="L542" s="274" t="s">
        <v>155</v>
      </c>
      <c r="M542" s="270"/>
      <c r="N542" s="270"/>
      <c r="O542" s="270"/>
    </row>
    <row r="543" spans="1:15" hidden="1">
      <c r="A543" s="280">
        <v>45742</v>
      </c>
      <c r="B543" s="270" t="s">
        <v>1255</v>
      </c>
      <c r="C543" s="276" t="s">
        <v>179</v>
      </c>
      <c r="D543" s="270" t="s">
        <v>2343</v>
      </c>
      <c r="E543" s="281">
        <v>135000</v>
      </c>
      <c r="F543" s="272">
        <v>232.90077047025255</v>
      </c>
      <c r="G543" s="273">
        <v>579.64599999999996</v>
      </c>
      <c r="H543" s="274" t="s">
        <v>217</v>
      </c>
      <c r="I543" s="274" t="s">
        <v>1256</v>
      </c>
      <c r="J543" s="274" t="s">
        <v>98</v>
      </c>
      <c r="K543" s="274" t="s">
        <v>1285</v>
      </c>
      <c r="L543" s="274" t="s">
        <v>155</v>
      </c>
      <c r="M543" s="270"/>
      <c r="N543" s="270"/>
      <c r="O543" s="270"/>
    </row>
    <row r="544" spans="1:15" hidden="1">
      <c r="A544" s="280">
        <v>45742</v>
      </c>
      <c r="B544" s="270" t="s">
        <v>1257</v>
      </c>
      <c r="C544" s="276" t="s">
        <v>175</v>
      </c>
      <c r="D544" s="270" t="s">
        <v>2343</v>
      </c>
      <c r="E544" s="281">
        <v>10000</v>
      </c>
      <c r="F544" s="272">
        <v>17.251908923722411</v>
      </c>
      <c r="G544" s="273">
        <v>579.64599999999996</v>
      </c>
      <c r="H544" s="274" t="s">
        <v>217</v>
      </c>
      <c r="I544" s="274" t="s">
        <v>1258</v>
      </c>
      <c r="J544" s="274" t="s">
        <v>98</v>
      </c>
      <c r="K544" s="274" t="s">
        <v>1285</v>
      </c>
      <c r="L544" s="274" t="s">
        <v>155</v>
      </c>
      <c r="M544" s="270"/>
      <c r="N544" s="270"/>
      <c r="O544" s="270"/>
    </row>
    <row r="545" spans="1:15" hidden="1">
      <c r="A545" s="280">
        <v>45742</v>
      </c>
      <c r="B545" s="270" t="s">
        <v>932</v>
      </c>
      <c r="C545" s="276" t="s">
        <v>2344</v>
      </c>
      <c r="D545" s="270" t="s">
        <v>120</v>
      </c>
      <c r="E545" s="281">
        <v>200000</v>
      </c>
      <c r="F545" s="272">
        <v>345.03817847444822</v>
      </c>
      <c r="G545" s="282">
        <v>579.64599999999996</v>
      </c>
      <c r="H545" s="274" t="s">
        <v>217</v>
      </c>
      <c r="I545" s="274" t="s">
        <v>1006</v>
      </c>
      <c r="J545" s="274" t="s">
        <v>98</v>
      </c>
      <c r="K545" s="278" t="s">
        <v>205</v>
      </c>
      <c r="L545" s="274" t="s">
        <v>155</v>
      </c>
      <c r="M545" s="270"/>
      <c r="N545" s="270"/>
      <c r="O545" s="270"/>
    </row>
    <row r="546" spans="1:15" hidden="1">
      <c r="A546" s="280">
        <v>45742</v>
      </c>
      <c r="B546" s="270" t="s">
        <v>1040</v>
      </c>
      <c r="C546" s="270" t="s">
        <v>128</v>
      </c>
      <c r="D546" s="270" t="s">
        <v>118</v>
      </c>
      <c r="E546" s="281">
        <v>52635</v>
      </c>
      <c r="F546" s="272">
        <v>90.805422620012905</v>
      </c>
      <c r="G546" s="273">
        <v>579.64599999999996</v>
      </c>
      <c r="H546" s="274" t="s">
        <v>148</v>
      </c>
      <c r="I546" s="274" t="s">
        <v>1279</v>
      </c>
      <c r="J546" s="274" t="s">
        <v>98</v>
      </c>
      <c r="K546" s="274" t="s">
        <v>1285</v>
      </c>
      <c r="L546" s="274" t="s">
        <v>155</v>
      </c>
      <c r="M546" s="270"/>
      <c r="N546" s="270"/>
      <c r="O546" s="270"/>
    </row>
    <row r="547" spans="1:15" hidden="1">
      <c r="A547" s="280">
        <v>45743</v>
      </c>
      <c r="B547" s="270" t="s">
        <v>1146</v>
      </c>
      <c r="C547" s="276" t="s">
        <v>179</v>
      </c>
      <c r="D547" s="271" t="s">
        <v>502</v>
      </c>
      <c r="E547" s="281">
        <v>30000</v>
      </c>
      <c r="F547" s="272">
        <v>51.755726771167232</v>
      </c>
      <c r="G547" s="273">
        <v>579.64599999999996</v>
      </c>
      <c r="H547" s="274" t="s">
        <v>176</v>
      </c>
      <c r="I547" s="274" t="s">
        <v>1147</v>
      </c>
      <c r="J547" s="274" t="s">
        <v>98</v>
      </c>
      <c r="K547" s="274" t="s">
        <v>1285</v>
      </c>
      <c r="L547" s="274" t="s">
        <v>155</v>
      </c>
      <c r="M547" s="270"/>
      <c r="N547" s="270"/>
      <c r="O547" s="270"/>
    </row>
    <row r="548" spans="1:15" hidden="1">
      <c r="A548" s="280">
        <v>45743</v>
      </c>
      <c r="B548" s="270" t="s">
        <v>1148</v>
      </c>
      <c r="C548" s="276" t="s">
        <v>175</v>
      </c>
      <c r="D548" s="271" t="s">
        <v>502</v>
      </c>
      <c r="E548" s="281">
        <v>15000</v>
      </c>
      <c r="F548" s="272">
        <v>25.877863385583616</v>
      </c>
      <c r="G548" s="273">
        <v>579.64599999999996</v>
      </c>
      <c r="H548" s="274" t="s">
        <v>176</v>
      </c>
      <c r="I548" s="274" t="s">
        <v>1149</v>
      </c>
      <c r="J548" s="274" t="s">
        <v>98</v>
      </c>
      <c r="K548" s="274" t="s">
        <v>1285</v>
      </c>
      <c r="L548" s="274" t="s">
        <v>155</v>
      </c>
      <c r="M548" s="270"/>
      <c r="N548" s="270"/>
      <c r="O548" s="270"/>
    </row>
    <row r="549" spans="1:15" hidden="1">
      <c r="A549" s="280">
        <v>45743</v>
      </c>
      <c r="B549" s="270" t="s">
        <v>1150</v>
      </c>
      <c r="C549" s="276" t="s">
        <v>403</v>
      </c>
      <c r="D549" s="271" t="s">
        <v>502</v>
      </c>
      <c r="E549" s="281">
        <v>18000</v>
      </c>
      <c r="F549" s="272">
        <v>31.053436062700339</v>
      </c>
      <c r="G549" s="273">
        <v>579.64599999999996</v>
      </c>
      <c r="H549" s="274" t="s">
        <v>176</v>
      </c>
      <c r="I549" s="274" t="s">
        <v>1151</v>
      </c>
      <c r="J549" s="274" t="s">
        <v>98</v>
      </c>
      <c r="K549" s="274" t="s">
        <v>1285</v>
      </c>
      <c r="L549" s="274" t="s">
        <v>155</v>
      </c>
      <c r="M549" s="270"/>
      <c r="N549" s="270"/>
      <c r="O549" s="270"/>
    </row>
    <row r="550" spans="1:15" hidden="1">
      <c r="A550" s="280">
        <v>45743</v>
      </c>
      <c r="B550" s="270" t="s">
        <v>1202</v>
      </c>
      <c r="C550" s="276" t="s">
        <v>175</v>
      </c>
      <c r="D550" s="271" t="s">
        <v>117</v>
      </c>
      <c r="E550" s="281">
        <v>8000</v>
      </c>
      <c r="F550" s="272">
        <v>13.80152713897793</v>
      </c>
      <c r="G550" s="273">
        <v>579.64599999999996</v>
      </c>
      <c r="H550" s="274" t="s">
        <v>190</v>
      </c>
      <c r="I550" s="274" t="s">
        <v>1203</v>
      </c>
      <c r="J550" s="274" t="s">
        <v>98</v>
      </c>
      <c r="K550" s="274" t="s">
        <v>1285</v>
      </c>
      <c r="L550" s="274" t="s">
        <v>155</v>
      </c>
      <c r="M550" s="270"/>
      <c r="N550" s="270"/>
      <c r="O550" s="270"/>
    </row>
    <row r="551" spans="1:15" hidden="1">
      <c r="A551" s="280">
        <v>45743</v>
      </c>
      <c r="B551" s="270" t="s">
        <v>1245</v>
      </c>
      <c r="C551" s="276" t="s">
        <v>1321</v>
      </c>
      <c r="D551" s="270" t="s">
        <v>2343</v>
      </c>
      <c r="E551" s="281">
        <v>28400</v>
      </c>
      <c r="F551" s="272">
        <v>48.995421343371646</v>
      </c>
      <c r="G551" s="273">
        <v>579.64599999999996</v>
      </c>
      <c r="H551" s="274" t="s">
        <v>497</v>
      </c>
      <c r="I551" s="274" t="s">
        <v>1246</v>
      </c>
      <c r="J551" s="274" t="s">
        <v>98</v>
      </c>
      <c r="K551" s="274" t="s">
        <v>1285</v>
      </c>
      <c r="L551" s="274" t="s">
        <v>155</v>
      </c>
      <c r="M551" s="270"/>
      <c r="N551" s="270"/>
      <c r="O551" s="270"/>
    </row>
    <row r="552" spans="1:15" hidden="1">
      <c r="A552" s="280">
        <v>45744</v>
      </c>
      <c r="B552" s="270" t="s">
        <v>933</v>
      </c>
      <c r="C552" s="270" t="s">
        <v>317</v>
      </c>
      <c r="D552" s="270" t="s">
        <v>118</v>
      </c>
      <c r="E552" s="281">
        <v>8000</v>
      </c>
      <c r="F552" s="272">
        <v>13.80152713897793</v>
      </c>
      <c r="G552" s="273">
        <v>579.64599999999996</v>
      </c>
      <c r="H552" s="274" t="s">
        <v>643</v>
      </c>
      <c r="I552" s="274" t="s">
        <v>988</v>
      </c>
      <c r="J552" s="274" t="s">
        <v>98</v>
      </c>
      <c r="K552" s="274" t="s">
        <v>1285</v>
      </c>
      <c r="L552" s="274" t="s">
        <v>155</v>
      </c>
      <c r="M552" s="270"/>
      <c r="N552" s="270"/>
      <c r="O552" s="270"/>
    </row>
    <row r="553" spans="1:15" hidden="1">
      <c r="A553" s="280">
        <v>45744</v>
      </c>
      <c r="B553" s="270" t="s">
        <v>935</v>
      </c>
      <c r="C553" s="270" t="s">
        <v>317</v>
      </c>
      <c r="D553" s="270" t="s">
        <v>118</v>
      </c>
      <c r="E553" s="281">
        <v>75625</v>
      </c>
      <c r="F553" s="272">
        <v>130.46756123565072</v>
      </c>
      <c r="G553" s="273">
        <v>579.64599999999996</v>
      </c>
      <c r="H553" s="274" t="s">
        <v>643</v>
      </c>
      <c r="I553" s="274" t="s">
        <v>990</v>
      </c>
      <c r="J553" s="274" t="s">
        <v>98</v>
      </c>
      <c r="K553" s="274" t="s">
        <v>1285</v>
      </c>
      <c r="L553" s="274" t="s">
        <v>155</v>
      </c>
      <c r="M553" s="270"/>
      <c r="N553" s="270"/>
      <c r="O553" s="270"/>
    </row>
    <row r="554" spans="1:15" hidden="1">
      <c r="A554" s="280">
        <v>45744</v>
      </c>
      <c r="B554" s="270" t="s">
        <v>1152</v>
      </c>
      <c r="C554" s="276" t="s">
        <v>179</v>
      </c>
      <c r="D554" s="271" t="s">
        <v>502</v>
      </c>
      <c r="E554" s="281">
        <v>15000</v>
      </c>
      <c r="F554" s="272">
        <v>25.877863385583616</v>
      </c>
      <c r="G554" s="273">
        <v>579.64599999999996</v>
      </c>
      <c r="H554" s="274" t="s">
        <v>176</v>
      </c>
      <c r="I554" s="274" t="s">
        <v>1153</v>
      </c>
      <c r="J554" s="274" t="s">
        <v>98</v>
      </c>
      <c r="K554" s="274" t="s">
        <v>1285</v>
      </c>
      <c r="L554" s="274" t="s">
        <v>155</v>
      </c>
      <c r="M554" s="270"/>
      <c r="N554" s="270"/>
      <c r="O554" s="270"/>
    </row>
    <row r="555" spans="1:15" hidden="1">
      <c r="A555" s="280">
        <v>45744</v>
      </c>
      <c r="B555" s="270" t="s">
        <v>1154</v>
      </c>
      <c r="C555" s="276" t="s">
        <v>175</v>
      </c>
      <c r="D555" s="271" t="s">
        <v>502</v>
      </c>
      <c r="E555" s="281">
        <v>7000</v>
      </c>
      <c r="F555" s="272">
        <v>12.076336246605688</v>
      </c>
      <c r="G555" s="282">
        <v>579.64599999999996</v>
      </c>
      <c r="H555" s="274" t="s">
        <v>176</v>
      </c>
      <c r="I555" s="274" t="s">
        <v>1155</v>
      </c>
      <c r="J555" s="274" t="s">
        <v>98</v>
      </c>
      <c r="K555" s="278" t="s">
        <v>205</v>
      </c>
      <c r="L555" s="274" t="s">
        <v>155</v>
      </c>
      <c r="M555" s="270"/>
      <c r="N555" s="270"/>
      <c r="O555" s="270"/>
    </row>
    <row r="556" spans="1:15" hidden="1">
      <c r="A556" s="280">
        <v>45744</v>
      </c>
      <c r="B556" s="270" t="s">
        <v>1176</v>
      </c>
      <c r="C556" s="276" t="s">
        <v>179</v>
      </c>
      <c r="D556" s="271" t="s">
        <v>502</v>
      </c>
      <c r="E556" s="281">
        <v>30000</v>
      </c>
      <c r="F556" s="272">
        <v>51.755726771167232</v>
      </c>
      <c r="G556" s="282">
        <v>579.64599999999996</v>
      </c>
      <c r="H556" s="274" t="s">
        <v>332</v>
      </c>
      <c r="I556" s="274" t="s">
        <v>1177</v>
      </c>
      <c r="J556" s="274" t="s">
        <v>98</v>
      </c>
      <c r="K556" s="278" t="s">
        <v>205</v>
      </c>
      <c r="L556" s="274" t="s">
        <v>155</v>
      </c>
      <c r="M556" s="270"/>
      <c r="N556" s="270"/>
      <c r="O556" s="270"/>
    </row>
    <row r="557" spans="1:15" hidden="1">
      <c r="A557" s="280">
        <v>45744</v>
      </c>
      <c r="B557" s="270" t="s">
        <v>1178</v>
      </c>
      <c r="C557" s="276" t="s">
        <v>175</v>
      </c>
      <c r="D557" s="271" t="s">
        <v>502</v>
      </c>
      <c r="E557" s="281">
        <v>7000</v>
      </c>
      <c r="F557" s="272">
        <v>12.076336246605688</v>
      </c>
      <c r="G557" s="282">
        <v>579.64599999999996</v>
      </c>
      <c r="H557" s="274" t="s">
        <v>332</v>
      </c>
      <c r="I557" s="274" t="s">
        <v>1179</v>
      </c>
      <c r="J557" s="274" t="s">
        <v>98</v>
      </c>
      <c r="K557" s="278" t="s">
        <v>205</v>
      </c>
      <c r="L557" s="274" t="s">
        <v>155</v>
      </c>
      <c r="M557" s="270"/>
      <c r="N557" s="270"/>
      <c r="O557" s="270"/>
    </row>
    <row r="558" spans="1:15" hidden="1">
      <c r="A558" s="280">
        <v>45744</v>
      </c>
      <c r="B558" s="270" t="s">
        <v>1204</v>
      </c>
      <c r="C558" s="270" t="s">
        <v>327</v>
      </c>
      <c r="D558" s="271" t="s">
        <v>117</v>
      </c>
      <c r="E558" s="281">
        <v>41500</v>
      </c>
      <c r="F558" s="272">
        <v>71.595422033448003</v>
      </c>
      <c r="G558" s="282">
        <v>579.64599999999996</v>
      </c>
      <c r="H558" s="274" t="s">
        <v>190</v>
      </c>
      <c r="I558" s="274" t="s">
        <v>1205</v>
      </c>
      <c r="J558" s="274" t="s">
        <v>98</v>
      </c>
      <c r="K558" s="278" t="s">
        <v>205</v>
      </c>
      <c r="L558" s="274" t="s">
        <v>155</v>
      </c>
      <c r="M558" s="270"/>
      <c r="N558" s="270"/>
      <c r="O558" s="270"/>
    </row>
    <row r="559" spans="1:15" hidden="1">
      <c r="A559" s="280">
        <v>45744</v>
      </c>
      <c r="B559" s="270" t="s">
        <v>1228</v>
      </c>
      <c r="C559" s="276" t="s">
        <v>175</v>
      </c>
      <c r="D559" s="271" t="s">
        <v>117</v>
      </c>
      <c r="E559" s="281">
        <v>35500</v>
      </c>
      <c r="F559" s="272">
        <v>61.244276679214558</v>
      </c>
      <c r="G559" s="282">
        <v>579.64599999999996</v>
      </c>
      <c r="H559" s="274" t="s">
        <v>193</v>
      </c>
      <c r="I559" s="274" t="s">
        <v>1229</v>
      </c>
      <c r="J559" s="274" t="s">
        <v>98</v>
      </c>
      <c r="K559" s="278" t="s">
        <v>205</v>
      </c>
      <c r="L559" s="274" t="s">
        <v>155</v>
      </c>
      <c r="M559" s="270"/>
      <c r="N559" s="270"/>
      <c r="O559" s="270"/>
    </row>
    <row r="560" spans="1:15" hidden="1">
      <c r="A560" s="280">
        <v>45744</v>
      </c>
      <c r="B560" s="270" t="s">
        <v>934</v>
      </c>
      <c r="C560" s="277" t="s">
        <v>2342</v>
      </c>
      <c r="D560" s="270" t="s">
        <v>118</v>
      </c>
      <c r="E560" s="281">
        <v>8825</v>
      </c>
      <c r="F560" s="272">
        <v>15.224809625185028</v>
      </c>
      <c r="G560" s="282">
        <v>579.64599999999996</v>
      </c>
      <c r="H560" s="274" t="s">
        <v>193</v>
      </c>
      <c r="I560" s="274" t="s">
        <v>989</v>
      </c>
      <c r="J560" s="274" t="s">
        <v>98</v>
      </c>
      <c r="K560" s="278" t="s">
        <v>205</v>
      </c>
      <c r="L560" s="274" t="s">
        <v>155</v>
      </c>
      <c r="M560" s="270"/>
      <c r="N560" s="270"/>
      <c r="O560" s="270"/>
    </row>
    <row r="561" spans="1:15" hidden="1">
      <c r="A561" s="280">
        <v>45744</v>
      </c>
      <c r="B561" s="270" t="s">
        <v>1247</v>
      </c>
      <c r="C561" s="270" t="s">
        <v>327</v>
      </c>
      <c r="D561" s="271" t="s">
        <v>117</v>
      </c>
      <c r="E561" s="281">
        <v>4000</v>
      </c>
      <c r="F561" s="272">
        <v>6.9007635694889649</v>
      </c>
      <c r="G561" s="282">
        <v>579.64599999999996</v>
      </c>
      <c r="H561" s="274" t="s">
        <v>497</v>
      </c>
      <c r="I561" s="274" t="s">
        <v>1248</v>
      </c>
      <c r="J561" s="274" t="s">
        <v>98</v>
      </c>
      <c r="K561" s="278" t="s">
        <v>205</v>
      </c>
      <c r="L561" s="274" t="s">
        <v>155</v>
      </c>
      <c r="M561" s="270"/>
      <c r="N561" s="270"/>
      <c r="O561" s="270"/>
    </row>
    <row r="562" spans="1:15" hidden="1">
      <c r="A562" s="280">
        <v>45744</v>
      </c>
      <c r="B562" s="270" t="s">
        <v>1315</v>
      </c>
      <c r="C562" s="276" t="s">
        <v>175</v>
      </c>
      <c r="D562" s="270" t="s">
        <v>120</v>
      </c>
      <c r="E562" s="281">
        <v>43650</v>
      </c>
      <c r="F562" s="272">
        <v>75.304582452048322</v>
      </c>
      <c r="G562" s="282">
        <v>579.64599999999996</v>
      </c>
      <c r="H562" s="274" t="s">
        <v>217</v>
      </c>
      <c r="I562" s="274" t="s">
        <v>1259</v>
      </c>
      <c r="J562" s="274" t="s">
        <v>98</v>
      </c>
      <c r="K562" s="278" t="s">
        <v>205</v>
      </c>
      <c r="L562" s="274" t="s">
        <v>155</v>
      </c>
      <c r="M562" s="270"/>
      <c r="N562" s="270"/>
      <c r="O562" s="270"/>
    </row>
    <row r="563" spans="1:15" hidden="1">
      <c r="A563" s="280">
        <v>45744</v>
      </c>
      <c r="B563" s="270" t="s">
        <v>932</v>
      </c>
      <c r="C563" s="276" t="s">
        <v>2344</v>
      </c>
      <c r="D563" s="270" t="s">
        <v>120</v>
      </c>
      <c r="E563" s="281">
        <v>154000</v>
      </c>
      <c r="F563" s="272">
        <v>265.67939742532513</v>
      </c>
      <c r="G563" s="282">
        <v>579.64599999999996</v>
      </c>
      <c r="H563" s="274" t="s">
        <v>217</v>
      </c>
      <c r="I563" s="274" t="s">
        <v>1007</v>
      </c>
      <c r="J563" s="274" t="s">
        <v>98</v>
      </c>
      <c r="K563" s="278" t="s">
        <v>205</v>
      </c>
      <c r="L563" s="274" t="s">
        <v>155</v>
      </c>
      <c r="M563" s="270"/>
      <c r="N563" s="270"/>
      <c r="O563" s="270"/>
    </row>
    <row r="564" spans="1:15" hidden="1">
      <c r="A564" s="280">
        <v>45744</v>
      </c>
      <c r="B564" s="270" t="s">
        <v>1041</v>
      </c>
      <c r="C564" s="270" t="s">
        <v>127</v>
      </c>
      <c r="D564" s="271" t="s">
        <v>502</v>
      </c>
      <c r="E564" s="281">
        <v>500000</v>
      </c>
      <c r="F564" s="272">
        <v>862.59544618612051</v>
      </c>
      <c r="G564" s="282">
        <v>579.64599999999996</v>
      </c>
      <c r="H564" s="274" t="s">
        <v>148</v>
      </c>
      <c r="I564" s="274" t="s">
        <v>1280</v>
      </c>
      <c r="J564" s="274" t="s">
        <v>98</v>
      </c>
      <c r="K564" s="278" t="s">
        <v>205</v>
      </c>
      <c r="L564" s="274" t="s">
        <v>155</v>
      </c>
      <c r="M564" s="270"/>
      <c r="N564" s="270"/>
      <c r="O564" s="270"/>
    </row>
    <row r="565" spans="1:15" hidden="1">
      <c r="A565" s="280">
        <v>45744</v>
      </c>
      <c r="B565" s="270" t="s">
        <v>1042</v>
      </c>
      <c r="C565" s="270" t="s">
        <v>127</v>
      </c>
      <c r="D565" s="271" t="s">
        <v>502</v>
      </c>
      <c r="E565" s="281">
        <v>375000</v>
      </c>
      <c r="F565" s="272">
        <v>646.94658463959047</v>
      </c>
      <c r="G565" s="282">
        <v>579.64599999999996</v>
      </c>
      <c r="H565" s="274" t="s">
        <v>148</v>
      </c>
      <c r="I565" s="274" t="s">
        <v>1281</v>
      </c>
      <c r="J565" s="274" t="s">
        <v>98</v>
      </c>
      <c r="K565" s="278" t="s">
        <v>205</v>
      </c>
      <c r="L565" s="274" t="s">
        <v>155</v>
      </c>
      <c r="M565" s="270"/>
      <c r="N565" s="270"/>
      <c r="O565" s="270"/>
    </row>
    <row r="566" spans="1:15" hidden="1">
      <c r="A566" s="280">
        <v>45745</v>
      </c>
      <c r="B566" s="270" t="s">
        <v>1272</v>
      </c>
      <c r="C566" s="270" t="s">
        <v>272</v>
      </c>
      <c r="D566" s="270" t="s">
        <v>2343</v>
      </c>
      <c r="E566" s="281">
        <v>120000</v>
      </c>
      <c r="F566" s="272">
        <v>207.02290708466893</v>
      </c>
      <c r="G566" s="282">
        <v>579.64599999999996</v>
      </c>
      <c r="H566" s="274" t="s">
        <v>203</v>
      </c>
      <c r="I566" s="274" t="s">
        <v>1294</v>
      </c>
      <c r="J566" s="274" t="s">
        <v>98</v>
      </c>
      <c r="K566" s="278" t="s">
        <v>205</v>
      </c>
      <c r="L566" s="274" t="s">
        <v>155</v>
      </c>
      <c r="M566" s="270"/>
      <c r="N566" s="270"/>
      <c r="O566" s="270"/>
    </row>
    <row r="567" spans="1:15" hidden="1">
      <c r="A567" s="280">
        <v>45745</v>
      </c>
      <c r="B567" s="270" t="s">
        <v>1273</v>
      </c>
      <c r="C567" s="276" t="s">
        <v>179</v>
      </c>
      <c r="D567" s="270" t="s">
        <v>2343</v>
      </c>
      <c r="E567" s="281">
        <v>60000</v>
      </c>
      <c r="F567" s="272">
        <v>103.51145354233446</v>
      </c>
      <c r="G567" s="282">
        <v>579.64599999999996</v>
      </c>
      <c r="H567" s="274" t="s">
        <v>203</v>
      </c>
      <c r="I567" s="274" t="s">
        <v>1295</v>
      </c>
      <c r="J567" s="274" t="s">
        <v>98</v>
      </c>
      <c r="K567" s="278" t="s">
        <v>205</v>
      </c>
      <c r="L567" s="274" t="s">
        <v>155</v>
      </c>
      <c r="M567" s="270"/>
      <c r="N567" s="270"/>
      <c r="O567" s="270"/>
    </row>
    <row r="568" spans="1:15" hidden="1">
      <c r="A568" s="280">
        <v>45745</v>
      </c>
      <c r="B568" s="270" t="s">
        <v>1274</v>
      </c>
      <c r="C568" s="276" t="s">
        <v>175</v>
      </c>
      <c r="D568" s="270" t="s">
        <v>2343</v>
      </c>
      <c r="E568" s="281">
        <v>46875</v>
      </c>
      <c r="F568" s="272">
        <v>80.868323079948809</v>
      </c>
      <c r="G568" s="282">
        <v>579.64599999999996</v>
      </c>
      <c r="H568" s="274" t="s">
        <v>203</v>
      </c>
      <c r="I568" s="274" t="s">
        <v>1296</v>
      </c>
      <c r="J568" s="274" t="s">
        <v>98</v>
      </c>
      <c r="K568" s="278" t="s">
        <v>205</v>
      </c>
      <c r="L568" s="274" t="s">
        <v>155</v>
      </c>
      <c r="M568" s="270"/>
      <c r="N568" s="270"/>
      <c r="O568" s="270"/>
    </row>
    <row r="569" spans="1:15" hidden="1">
      <c r="A569" s="280">
        <v>45745</v>
      </c>
      <c r="B569" s="270" t="s">
        <v>1275</v>
      </c>
      <c r="C569" s="276" t="s">
        <v>175</v>
      </c>
      <c r="D569" s="270" t="s">
        <v>2343</v>
      </c>
      <c r="E569" s="281">
        <v>46875</v>
      </c>
      <c r="F569" s="272">
        <v>80.868323079948809</v>
      </c>
      <c r="G569" s="282">
        <v>579.64599999999996</v>
      </c>
      <c r="H569" s="274" t="s">
        <v>203</v>
      </c>
      <c r="I569" s="274" t="s">
        <v>1297</v>
      </c>
      <c r="J569" s="274" t="s">
        <v>98</v>
      </c>
      <c r="K569" s="278" t="s">
        <v>205</v>
      </c>
      <c r="L569" s="274" t="s">
        <v>155</v>
      </c>
      <c r="M569" s="270"/>
      <c r="N569" s="270"/>
      <c r="O569" s="270"/>
    </row>
    <row r="570" spans="1:15" hidden="1">
      <c r="A570" s="280">
        <v>45745</v>
      </c>
      <c r="B570" s="270" t="s">
        <v>1276</v>
      </c>
      <c r="C570" s="276" t="s">
        <v>175</v>
      </c>
      <c r="D570" s="271" t="s">
        <v>117</v>
      </c>
      <c r="E570" s="281">
        <v>40000</v>
      </c>
      <c r="F570" s="272">
        <v>69.007635694889643</v>
      </c>
      <c r="G570" s="282">
        <v>579.64599999999996</v>
      </c>
      <c r="H570" s="274" t="s">
        <v>203</v>
      </c>
      <c r="I570" s="274" t="s">
        <v>1298</v>
      </c>
      <c r="J570" s="274" t="s">
        <v>98</v>
      </c>
      <c r="K570" s="278" t="s">
        <v>205</v>
      </c>
      <c r="L570" s="274" t="s">
        <v>155</v>
      </c>
      <c r="M570" s="270"/>
      <c r="N570" s="270"/>
      <c r="O570" s="270"/>
    </row>
    <row r="571" spans="1:15" hidden="1">
      <c r="A571" s="280">
        <v>45745</v>
      </c>
      <c r="B571" s="270" t="s">
        <v>1156</v>
      </c>
      <c r="C571" s="276" t="s">
        <v>175</v>
      </c>
      <c r="D571" s="271" t="s">
        <v>502</v>
      </c>
      <c r="E571" s="281">
        <v>83200</v>
      </c>
      <c r="F571" s="272">
        <v>143.53588224537046</v>
      </c>
      <c r="G571" s="282">
        <v>579.64599999999996</v>
      </c>
      <c r="H571" s="274" t="s">
        <v>176</v>
      </c>
      <c r="I571" s="274" t="s">
        <v>1157</v>
      </c>
      <c r="J571" s="274" t="s">
        <v>98</v>
      </c>
      <c r="K571" s="278" t="s">
        <v>205</v>
      </c>
      <c r="L571" s="274" t="s">
        <v>155</v>
      </c>
      <c r="M571" s="270"/>
      <c r="N571" s="270"/>
      <c r="O571" s="270"/>
    </row>
    <row r="572" spans="1:15" hidden="1">
      <c r="A572" s="280">
        <v>45743</v>
      </c>
      <c r="B572" s="270" t="s">
        <v>1206</v>
      </c>
      <c r="C572" s="276" t="s">
        <v>179</v>
      </c>
      <c r="D572" s="271" t="s">
        <v>117</v>
      </c>
      <c r="E572" s="281">
        <v>150000</v>
      </c>
      <c r="F572" s="272">
        <v>258.77863385583618</v>
      </c>
      <c r="G572" s="282">
        <v>579.64599999999996</v>
      </c>
      <c r="H572" s="274" t="s">
        <v>190</v>
      </c>
      <c r="I572" s="274" t="s">
        <v>1207</v>
      </c>
      <c r="J572" s="274" t="s">
        <v>98</v>
      </c>
      <c r="K572" s="278" t="s">
        <v>205</v>
      </c>
      <c r="L572" s="274" t="s">
        <v>155</v>
      </c>
      <c r="M572" s="270"/>
      <c r="N572" s="270"/>
      <c r="O572" s="270"/>
    </row>
    <row r="573" spans="1:15" hidden="1">
      <c r="A573" s="280">
        <v>45745</v>
      </c>
      <c r="B573" s="270" t="s">
        <v>1208</v>
      </c>
      <c r="C573" s="276" t="s">
        <v>179</v>
      </c>
      <c r="D573" s="271" t="s">
        <v>117</v>
      </c>
      <c r="E573" s="281">
        <v>30000</v>
      </c>
      <c r="F573" s="272">
        <v>51.755726771167232</v>
      </c>
      <c r="G573" s="282">
        <v>579.64599999999996</v>
      </c>
      <c r="H573" s="274" t="s">
        <v>190</v>
      </c>
      <c r="I573" s="274" t="s">
        <v>1209</v>
      </c>
      <c r="J573" s="274" t="s">
        <v>98</v>
      </c>
      <c r="K573" s="278" t="s">
        <v>205</v>
      </c>
      <c r="L573" s="274" t="s">
        <v>155</v>
      </c>
      <c r="M573" s="270"/>
      <c r="N573" s="270"/>
      <c r="O573" s="270"/>
    </row>
    <row r="574" spans="1:15" hidden="1">
      <c r="A574" s="280">
        <v>45745</v>
      </c>
      <c r="B574" s="270" t="s">
        <v>1316</v>
      </c>
      <c r="C574" s="276" t="s">
        <v>175</v>
      </c>
      <c r="D574" s="271" t="s">
        <v>117</v>
      </c>
      <c r="E574" s="281">
        <v>6000</v>
      </c>
      <c r="F574" s="272">
        <v>10.351145354233447</v>
      </c>
      <c r="G574" s="282">
        <v>579.64599999999996</v>
      </c>
      <c r="H574" s="274" t="s">
        <v>190</v>
      </c>
      <c r="I574" s="274" t="s">
        <v>1210</v>
      </c>
      <c r="J574" s="274" t="s">
        <v>98</v>
      </c>
      <c r="K574" s="278" t="s">
        <v>205</v>
      </c>
      <c r="L574" s="274" t="s">
        <v>155</v>
      </c>
      <c r="M574" s="270"/>
      <c r="N574" s="270"/>
      <c r="O574" s="270"/>
    </row>
    <row r="575" spans="1:15" hidden="1">
      <c r="A575" s="280">
        <v>45745</v>
      </c>
      <c r="B575" s="270" t="s">
        <v>1211</v>
      </c>
      <c r="C575" s="276" t="s">
        <v>175</v>
      </c>
      <c r="D575" s="271" t="s">
        <v>117</v>
      </c>
      <c r="E575" s="281">
        <v>7000</v>
      </c>
      <c r="F575" s="272">
        <v>12.076336246605688</v>
      </c>
      <c r="G575" s="282">
        <v>579.64599999999996</v>
      </c>
      <c r="H575" s="274" t="s">
        <v>190</v>
      </c>
      <c r="I575" s="274" t="s">
        <v>1212</v>
      </c>
      <c r="J575" s="274" t="s">
        <v>98</v>
      </c>
      <c r="K575" s="278" t="s">
        <v>205</v>
      </c>
      <c r="L575" s="274" t="s">
        <v>155</v>
      </c>
      <c r="M575" s="270"/>
      <c r="N575" s="270"/>
      <c r="O575" s="270"/>
    </row>
    <row r="576" spans="1:15" hidden="1">
      <c r="A576" s="280">
        <v>45745</v>
      </c>
      <c r="B576" s="270" t="s">
        <v>2350</v>
      </c>
      <c r="C576" s="276" t="s">
        <v>175</v>
      </c>
      <c r="D576" s="271" t="s">
        <v>117</v>
      </c>
      <c r="E576" s="281">
        <v>49400</v>
      </c>
      <c r="F576" s="272">
        <v>85.224430083188707</v>
      </c>
      <c r="G576" s="282">
        <v>579.64599999999996</v>
      </c>
      <c r="H576" s="274" t="s">
        <v>190</v>
      </c>
      <c r="I576" s="274" t="s">
        <v>1213</v>
      </c>
      <c r="J576" s="274" t="s">
        <v>98</v>
      </c>
      <c r="K576" s="278" t="s">
        <v>205</v>
      </c>
      <c r="L576" s="274" t="s">
        <v>155</v>
      </c>
      <c r="M576" s="270"/>
      <c r="N576" s="270"/>
      <c r="O576" s="270"/>
    </row>
    <row r="577" spans="1:15" hidden="1">
      <c r="A577" s="280">
        <v>45747</v>
      </c>
      <c r="B577" s="270" t="s">
        <v>1082</v>
      </c>
      <c r="C577" s="276" t="s">
        <v>175</v>
      </c>
      <c r="D577" s="270" t="s">
        <v>119</v>
      </c>
      <c r="E577" s="281">
        <v>61000</v>
      </c>
      <c r="F577" s="272">
        <v>105.2366444347067</v>
      </c>
      <c r="G577" s="282">
        <v>579.64599999999996</v>
      </c>
      <c r="H577" s="274" t="s">
        <v>153</v>
      </c>
      <c r="I577" s="274" t="s">
        <v>1083</v>
      </c>
      <c r="J577" s="274" t="s">
        <v>98</v>
      </c>
      <c r="K577" s="278" t="s">
        <v>205</v>
      </c>
      <c r="L577" s="274" t="s">
        <v>155</v>
      </c>
      <c r="M577" s="270"/>
      <c r="N577" s="270"/>
      <c r="O577" s="270"/>
    </row>
    <row r="578" spans="1:15" hidden="1">
      <c r="A578" s="280">
        <v>45747</v>
      </c>
      <c r="B578" s="270" t="s">
        <v>1317</v>
      </c>
      <c r="C578" s="276" t="s">
        <v>175</v>
      </c>
      <c r="D578" s="270" t="s">
        <v>118</v>
      </c>
      <c r="E578" s="281">
        <v>35500</v>
      </c>
      <c r="F578" s="272">
        <v>61.244276679214558</v>
      </c>
      <c r="G578" s="282">
        <v>579.64599999999996</v>
      </c>
      <c r="H578" s="274" t="s">
        <v>643</v>
      </c>
      <c r="I578" s="274" t="s">
        <v>1085</v>
      </c>
      <c r="J578" s="274" t="s">
        <v>98</v>
      </c>
      <c r="K578" s="278" t="s">
        <v>205</v>
      </c>
      <c r="L578" s="274" t="s">
        <v>155</v>
      </c>
      <c r="M578" s="270"/>
      <c r="N578" s="270"/>
      <c r="O578" s="270"/>
    </row>
    <row r="579" spans="1:15" hidden="1">
      <c r="A579" s="280">
        <v>45747</v>
      </c>
      <c r="B579" s="270" t="s">
        <v>936</v>
      </c>
      <c r="C579" s="270" t="s">
        <v>686</v>
      </c>
      <c r="D579" s="270" t="s">
        <v>118</v>
      </c>
      <c r="E579" s="281">
        <v>45050</v>
      </c>
      <c r="F579" s="272">
        <v>77.719849701369469</v>
      </c>
      <c r="G579" s="282">
        <v>579.64599999999996</v>
      </c>
      <c r="H579" s="274" t="s">
        <v>643</v>
      </c>
      <c r="I579" s="274" t="s">
        <v>991</v>
      </c>
      <c r="J579" s="274" t="s">
        <v>98</v>
      </c>
      <c r="K579" s="278" t="s">
        <v>205</v>
      </c>
      <c r="L579" s="274" t="s">
        <v>155</v>
      </c>
      <c r="M579" s="270"/>
      <c r="N579" s="270"/>
      <c r="O579" s="270"/>
    </row>
    <row r="580" spans="1:15" hidden="1">
      <c r="A580" s="280">
        <v>45747</v>
      </c>
      <c r="B580" s="270" t="s">
        <v>1180</v>
      </c>
      <c r="C580" s="276" t="s">
        <v>403</v>
      </c>
      <c r="D580" s="271" t="s">
        <v>502</v>
      </c>
      <c r="E580" s="281">
        <v>30100</v>
      </c>
      <c r="F580" s="272">
        <v>51.928245860404459</v>
      </c>
      <c r="G580" s="282">
        <v>579.64599999999996</v>
      </c>
      <c r="H580" s="274" t="s">
        <v>332</v>
      </c>
      <c r="I580" s="274" t="s">
        <v>1181</v>
      </c>
      <c r="J580" s="274" t="s">
        <v>98</v>
      </c>
      <c r="K580" s="278" t="s">
        <v>205</v>
      </c>
      <c r="L580" s="274" t="s">
        <v>155</v>
      </c>
      <c r="M580" s="270"/>
      <c r="N580" s="270"/>
      <c r="O580" s="270"/>
    </row>
    <row r="581" spans="1:15" hidden="1">
      <c r="A581" s="280">
        <v>45747</v>
      </c>
      <c r="B581" s="270" t="s">
        <v>1182</v>
      </c>
      <c r="C581" s="276" t="s">
        <v>175</v>
      </c>
      <c r="D581" s="271" t="s">
        <v>502</v>
      </c>
      <c r="E581" s="281">
        <v>89800</v>
      </c>
      <c r="F581" s="272">
        <v>154.92214213502726</v>
      </c>
      <c r="G581" s="282">
        <v>579.64599999999996</v>
      </c>
      <c r="H581" s="274" t="s">
        <v>332</v>
      </c>
      <c r="I581" s="274" t="s">
        <v>1183</v>
      </c>
      <c r="J581" s="274" t="s">
        <v>98</v>
      </c>
      <c r="K581" s="278" t="s">
        <v>205</v>
      </c>
      <c r="L581" s="274" t="s">
        <v>155</v>
      </c>
      <c r="M581" s="270"/>
      <c r="N581" s="270"/>
      <c r="O581" s="270"/>
    </row>
    <row r="582" spans="1:15" hidden="1">
      <c r="A582" s="280">
        <v>45747</v>
      </c>
      <c r="B582" s="270" t="s">
        <v>1193</v>
      </c>
      <c r="C582" s="276" t="s">
        <v>175</v>
      </c>
      <c r="D582" s="271" t="s">
        <v>502</v>
      </c>
      <c r="E582" s="281">
        <v>50500</v>
      </c>
      <c r="F582" s="272">
        <v>87.122140064798174</v>
      </c>
      <c r="G582" s="282">
        <v>579.64599999999996</v>
      </c>
      <c r="H582" s="274" t="s">
        <v>343</v>
      </c>
      <c r="I582" s="274" t="s">
        <v>1194</v>
      </c>
      <c r="J582" s="274" t="s">
        <v>98</v>
      </c>
      <c r="K582" s="278" t="s">
        <v>205</v>
      </c>
      <c r="L582" s="274" t="s">
        <v>155</v>
      </c>
      <c r="M582" s="270"/>
      <c r="N582" s="270"/>
      <c r="O582" s="270"/>
    </row>
    <row r="583" spans="1:15" hidden="1">
      <c r="A583" s="280">
        <v>45747</v>
      </c>
      <c r="B583" s="270" t="s">
        <v>1318</v>
      </c>
      <c r="C583" s="276" t="s">
        <v>175</v>
      </c>
      <c r="D583" s="271" t="s">
        <v>117</v>
      </c>
      <c r="E583" s="281">
        <v>53000</v>
      </c>
      <c r="F583" s="272">
        <v>91.435117295728773</v>
      </c>
      <c r="G583" s="282">
        <v>579.64599999999996</v>
      </c>
      <c r="H583" s="274" t="s">
        <v>196</v>
      </c>
      <c r="I583" s="274" t="s">
        <v>1237</v>
      </c>
      <c r="J583" s="274" t="s">
        <v>98</v>
      </c>
      <c r="K583" s="278" t="s">
        <v>205</v>
      </c>
      <c r="L583" s="274" t="s">
        <v>155</v>
      </c>
      <c r="M583" s="270"/>
      <c r="N583" s="270"/>
      <c r="O583" s="270"/>
    </row>
    <row r="584" spans="1:15" hidden="1">
      <c r="A584" s="280">
        <v>45747</v>
      </c>
      <c r="B584" s="270" t="s">
        <v>937</v>
      </c>
      <c r="C584" s="277" t="s">
        <v>2342</v>
      </c>
      <c r="D584" s="270" t="s">
        <v>118</v>
      </c>
      <c r="E584" s="281">
        <v>16890</v>
      </c>
      <c r="F584" s="272">
        <v>29.138474172167154</v>
      </c>
      <c r="G584" s="282">
        <v>579.64599999999996</v>
      </c>
      <c r="H584" s="274" t="s">
        <v>196</v>
      </c>
      <c r="I584" s="274" t="s">
        <v>992</v>
      </c>
      <c r="J584" s="274" t="s">
        <v>98</v>
      </c>
      <c r="K584" s="278" t="s">
        <v>205</v>
      </c>
      <c r="L584" s="274" t="s">
        <v>155</v>
      </c>
      <c r="M584" s="270"/>
      <c r="N584" s="270"/>
      <c r="O584" s="270"/>
    </row>
    <row r="585" spans="1:15" hidden="1">
      <c r="A585" s="280">
        <v>45747</v>
      </c>
      <c r="B585" s="270" t="s">
        <v>1249</v>
      </c>
      <c r="C585" s="276" t="s">
        <v>175</v>
      </c>
      <c r="D585" s="271" t="s">
        <v>117</v>
      </c>
      <c r="E585" s="281">
        <v>33000</v>
      </c>
      <c r="F585" s="272">
        <v>56.931299448283958</v>
      </c>
      <c r="G585" s="282">
        <v>579.64599999999996</v>
      </c>
      <c r="H585" s="274" t="s">
        <v>497</v>
      </c>
      <c r="I585" s="274" t="s">
        <v>1250</v>
      </c>
      <c r="J585" s="274" t="s">
        <v>98</v>
      </c>
      <c r="K585" s="278" t="s">
        <v>205</v>
      </c>
      <c r="L585" s="274" t="s">
        <v>155</v>
      </c>
      <c r="M585" s="270"/>
      <c r="N585" s="270"/>
      <c r="O585" s="270"/>
    </row>
    <row r="586" spans="1:15" hidden="1">
      <c r="A586" s="280">
        <v>45747</v>
      </c>
      <c r="B586" s="270" t="s">
        <v>1043</v>
      </c>
      <c r="C586" s="270" t="s">
        <v>127</v>
      </c>
      <c r="D586" s="271" t="s">
        <v>502</v>
      </c>
      <c r="E586" s="281">
        <v>255000</v>
      </c>
      <c r="F586" s="272">
        <v>439.92367755492148</v>
      </c>
      <c r="G586" s="282">
        <v>579.64599999999996</v>
      </c>
      <c r="H586" s="274" t="s">
        <v>148</v>
      </c>
      <c r="I586" s="274" t="s">
        <v>1282</v>
      </c>
      <c r="J586" s="274" t="s">
        <v>98</v>
      </c>
      <c r="K586" s="278" t="s">
        <v>205</v>
      </c>
      <c r="L586" s="274" t="s">
        <v>155</v>
      </c>
      <c r="M586" s="270"/>
      <c r="N586" s="270"/>
      <c r="O586" s="270"/>
    </row>
    <row r="587" spans="1:15" hidden="1">
      <c r="A587" s="280">
        <v>45747</v>
      </c>
      <c r="B587" s="270" t="s">
        <v>1044</v>
      </c>
      <c r="C587" s="270" t="s">
        <v>127</v>
      </c>
      <c r="D587" s="271" t="s">
        <v>502</v>
      </c>
      <c r="E587" s="281">
        <v>255000</v>
      </c>
      <c r="F587" s="272">
        <v>439.92367755492148</v>
      </c>
      <c r="G587" s="282">
        <v>579.64599999999996</v>
      </c>
      <c r="H587" s="274" t="s">
        <v>148</v>
      </c>
      <c r="I587" s="274" t="s">
        <v>1283</v>
      </c>
      <c r="J587" s="274" t="s">
        <v>98</v>
      </c>
      <c r="K587" s="278" t="s">
        <v>205</v>
      </c>
      <c r="L587" s="274" t="s">
        <v>155</v>
      </c>
      <c r="M587" s="270"/>
      <c r="N587" s="270"/>
      <c r="O587" s="270"/>
    </row>
    <row r="588" spans="1:15" hidden="1">
      <c r="A588" s="269">
        <v>45748</v>
      </c>
      <c r="B588" s="270" t="s">
        <v>1445</v>
      </c>
      <c r="C588" s="270" t="s">
        <v>1689</v>
      </c>
      <c r="D588" s="271" t="s">
        <v>1110</v>
      </c>
      <c r="E588" s="272">
        <v>28000</v>
      </c>
      <c r="F588" s="272">
        <v>48.305344986422753</v>
      </c>
      <c r="G588" s="282">
        <v>579.64599999999996</v>
      </c>
      <c r="H588" s="274" t="s">
        <v>343</v>
      </c>
      <c r="I588" s="274" t="s">
        <v>1446</v>
      </c>
      <c r="J588" s="274" t="s">
        <v>98</v>
      </c>
      <c r="K588" s="274" t="s">
        <v>205</v>
      </c>
      <c r="L588" s="274" t="s">
        <v>155</v>
      </c>
      <c r="M588" s="270"/>
      <c r="N588" s="270"/>
      <c r="O588" s="270"/>
    </row>
    <row r="589" spans="1:15" hidden="1">
      <c r="A589" s="269">
        <v>45748</v>
      </c>
      <c r="B589" s="270" t="s">
        <v>1513</v>
      </c>
      <c r="C589" s="270" t="s">
        <v>175</v>
      </c>
      <c r="D589" s="271" t="s">
        <v>117</v>
      </c>
      <c r="E589" s="272">
        <v>7000</v>
      </c>
      <c r="F589" s="272">
        <v>12.076336246605688</v>
      </c>
      <c r="G589" s="282">
        <v>579.64599999999996</v>
      </c>
      <c r="H589" s="274" t="s">
        <v>196</v>
      </c>
      <c r="I589" s="274" t="s">
        <v>1514</v>
      </c>
      <c r="J589" s="274" t="s">
        <v>98</v>
      </c>
      <c r="K589" s="274" t="s">
        <v>205</v>
      </c>
      <c r="L589" s="274" t="s">
        <v>155</v>
      </c>
      <c r="M589" s="270"/>
      <c r="N589" s="270"/>
      <c r="O589" s="270"/>
    </row>
    <row r="590" spans="1:15" hidden="1">
      <c r="A590" s="269">
        <v>45748</v>
      </c>
      <c r="B590" s="270" t="s">
        <v>1515</v>
      </c>
      <c r="C590" s="270" t="s">
        <v>175</v>
      </c>
      <c r="D590" s="271" t="s">
        <v>117</v>
      </c>
      <c r="E590" s="272">
        <v>21000</v>
      </c>
      <c r="F590" s="272">
        <v>36.229008739817061</v>
      </c>
      <c r="G590" s="282">
        <v>579.64599999999996</v>
      </c>
      <c r="H590" s="274" t="s">
        <v>196</v>
      </c>
      <c r="I590" s="274" t="s">
        <v>1516</v>
      </c>
      <c r="J590" s="274" t="s">
        <v>98</v>
      </c>
      <c r="K590" s="274" t="s">
        <v>205</v>
      </c>
      <c r="L590" s="274" t="s">
        <v>155</v>
      </c>
      <c r="M590" s="270"/>
      <c r="N590" s="270"/>
      <c r="O590" s="270"/>
    </row>
    <row r="591" spans="1:15" hidden="1">
      <c r="A591" s="269">
        <v>45748</v>
      </c>
      <c r="B591" s="270" t="s">
        <v>1517</v>
      </c>
      <c r="C591" s="276" t="s">
        <v>179</v>
      </c>
      <c r="D591" s="271" t="s">
        <v>117</v>
      </c>
      <c r="E591" s="272">
        <v>50000</v>
      </c>
      <c r="F591" s="272">
        <v>86.259544618612054</v>
      </c>
      <c r="G591" s="282">
        <v>579.64599999999996</v>
      </c>
      <c r="H591" s="274" t="s">
        <v>196</v>
      </c>
      <c r="I591" s="274" t="s">
        <v>1518</v>
      </c>
      <c r="J591" s="274" t="s">
        <v>98</v>
      </c>
      <c r="K591" s="274" t="s">
        <v>205</v>
      </c>
      <c r="L591" s="274" t="s">
        <v>155</v>
      </c>
      <c r="M591" s="270"/>
      <c r="N591" s="270"/>
      <c r="O591" s="270"/>
    </row>
    <row r="592" spans="1:15" hidden="1">
      <c r="A592" s="269">
        <v>45748</v>
      </c>
      <c r="B592" s="270" t="s">
        <v>1045</v>
      </c>
      <c r="C592" s="270" t="s">
        <v>317</v>
      </c>
      <c r="D592" s="270" t="s">
        <v>118</v>
      </c>
      <c r="E592" s="272">
        <v>260000</v>
      </c>
      <c r="F592" s="272">
        <v>448.54963201678271</v>
      </c>
      <c r="G592" s="282">
        <v>579.64599999999996</v>
      </c>
      <c r="H592" s="274" t="s">
        <v>148</v>
      </c>
      <c r="I592" s="274" t="s">
        <v>1635</v>
      </c>
      <c r="J592" s="274" t="s">
        <v>98</v>
      </c>
      <c r="K592" s="274" t="s">
        <v>205</v>
      </c>
      <c r="L592" s="274" t="s">
        <v>155</v>
      </c>
      <c r="M592" s="270"/>
      <c r="N592" s="270"/>
      <c r="O592" s="270"/>
    </row>
    <row r="593" spans="1:15" hidden="1">
      <c r="A593" s="269">
        <v>45749</v>
      </c>
      <c r="B593" s="270" t="s">
        <v>1349</v>
      </c>
      <c r="C593" s="270" t="s">
        <v>152</v>
      </c>
      <c r="D593" s="271" t="s">
        <v>502</v>
      </c>
      <c r="E593" s="272">
        <v>88000</v>
      </c>
      <c r="F593" s="272">
        <v>151.81679852875723</v>
      </c>
      <c r="G593" s="282">
        <v>579.64599999999996</v>
      </c>
      <c r="H593" s="274" t="s">
        <v>643</v>
      </c>
      <c r="I593" s="274" t="s">
        <v>1350</v>
      </c>
      <c r="J593" s="274" t="s">
        <v>98</v>
      </c>
      <c r="K593" s="274" t="s">
        <v>205</v>
      </c>
      <c r="L593" s="274" t="s">
        <v>155</v>
      </c>
      <c r="M593" s="270"/>
      <c r="N593" s="270"/>
      <c r="O593" s="270"/>
    </row>
    <row r="594" spans="1:15" hidden="1">
      <c r="A594" s="269">
        <v>45749</v>
      </c>
      <c r="B594" s="270" t="s">
        <v>1351</v>
      </c>
      <c r="C594" s="270" t="s">
        <v>152</v>
      </c>
      <c r="D594" s="270" t="s">
        <v>120</v>
      </c>
      <c r="E594" s="272">
        <v>10000</v>
      </c>
      <c r="F594" s="272">
        <v>17.251908923722411</v>
      </c>
      <c r="G594" s="282">
        <v>579.64599999999996</v>
      </c>
      <c r="H594" s="274" t="s">
        <v>643</v>
      </c>
      <c r="I594" s="274" t="s">
        <v>1352</v>
      </c>
      <c r="J594" s="274" t="s">
        <v>98</v>
      </c>
      <c r="K594" s="274" t="s">
        <v>205</v>
      </c>
      <c r="L594" s="274" t="s">
        <v>155</v>
      </c>
      <c r="M594" s="270"/>
      <c r="N594" s="270"/>
      <c r="O594" s="270"/>
    </row>
    <row r="595" spans="1:15" hidden="1">
      <c r="A595" s="269">
        <v>45749</v>
      </c>
      <c r="B595" s="270" t="s">
        <v>1353</v>
      </c>
      <c r="C595" s="270" t="s">
        <v>152</v>
      </c>
      <c r="D595" s="271" t="s">
        <v>117</v>
      </c>
      <c r="E595" s="272">
        <v>10000</v>
      </c>
      <c r="F595" s="272">
        <v>17.251908923722411</v>
      </c>
      <c r="G595" s="282">
        <v>579.64599999999996</v>
      </c>
      <c r="H595" s="274" t="s">
        <v>643</v>
      </c>
      <c r="I595" s="274" t="s">
        <v>1354</v>
      </c>
      <c r="J595" s="274" t="s">
        <v>98</v>
      </c>
      <c r="K595" s="274" t="s">
        <v>205</v>
      </c>
      <c r="L595" s="274" t="s">
        <v>155</v>
      </c>
      <c r="M595" s="270"/>
      <c r="N595" s="270"/>
      <c r="O595" s="270"/>
    </row>
    <row r="596" spans="1:15" hidden="1">
      <c r="A596" s="269">
        <v>45749</v>
      </c>
      <c r="B596" s="270" t="s">
        <v>1355</v>
      </c>
      <c r="C596" s="270" t="s">
        <v>152</v>
      </c>
      <c r="D596" s="271" t="s">
        <v>502</v>
      </c>
      <c r="E596" s="272">
        <v>16000</v>
      </c>
      <c r="F596" s="272">
        <v>27.603054277955859</v>
      </c>
      <c r="G596" s="282">
        <v>579.64599999999996</v>
      </c>
      <c r="H596" s="274" t="s">
        <v>643</v>
      </c>
      <c r="I596" s="274" t="s">
        <v>1356</v>
      </c>
      <c r="J596" s="274" t="s">
        <v>98</v>
      </c>
      <c r="K596" s="274" t="s">
        <v>205</v>
      </c>
      <c r="L596" s="274" t="s">
        <v>155</v>
      </c>
      <c r="M596" s="270"/>
      <c r="N596" s="270"/>
      <c r="O596" s="270"/>
    </row>
    <row r="597" spans="1:15" hidden="1">
      <c r="A597" s="269">
        <v>45749</v>
      </c>
      <c r="B597" s="270" t="s">
        <v>1357</v>
      </c>
      <c r="C597" s="270" t="s">
        <v>152</v>
      </c>
      <c r="D597" s="270" t="s">
        <v>120</v>
      </c>
      <c r="E597" s="272">
        <v>11000</v>
      </c>
      <c r="F597" s="272">
        <v>18.977099816094654</v>
      </c>
      <c r="G597" s="282">
        <v>579.64599999999996</v>
      </c>
      <c r="H597" s="274" t="s">
        <v>643</v>
      </c>
      <c r="I597" s="274" t="s">
        <v>1358</v>
      </c>
      <c r="J597" s="274" t="s">
        <v>98</v>
      </c>
      <c r="K597" s="274" t="s">
        <v>205</v>
      </c>
      <c r="L597" s="274" t="s">
        <v>155</v>
      </c>
      <c r="M597" s="270"/>
      <c r="N597" s="270"/>
      <c r="O597" s="270"/>
    </row>
    <row r="598" spans="1:15" hidden="1">
      <c r="A598" s="269">
        <v>45749</v>
      </c>
      <c r="B598" s="270" t="s">
        <v>1673</v>
      </c>
      <c r="C598" s="276" t="s">
        <v>179</v>
      </c>
      <c r="D598" s="271" t="s">
        <v>117</v>
      </c>
      <c r="E598" s="272">
        <v>20000</v>
      </c>
      <c r="F598" s="272">
        <v>34.503817847444822</v>
      </c>
      <c r="G598" s="282">
        <v>579.64599999999996</v>
      </c>
      <c r="H598" s="274" t="s">
        <v>196</v>
      </c>
      <c r="I598" s="274" t="s">
        <v>1519</v>
      </c>
      <c r="J598" s="274" t="s">
        <v>98</v>
      </c>
      <c r="K598" s="274" t="s">
        <v>205</v>
      </c>
      <c r="L598" s="274" t="s">
        <v>155</v>
      </c>
      <c r="M598" s="270"/>
      <c r="N598" s="270"/>
      <c r="O598" s="270"/>
    </row>
    <row r="599" spans="1:15" hidden="1">
      <c r="A599" s="269">
        <v>45749</v>
      </c>
      <c r="B599" s="270" t="s">
        <v>1345</v>
      </c>
      <c r="C599" s="270" t="s">
        <v>152</v>
      </c>
      <c r="D599" s="270" t="s">
        <v>119</v>
      </c>
      <c r="E599" s="286">
        <v>42000</v>
      </c>
      <c r="F599" s="272">
        <v>72.052412983844818</v>
      </c>
      <c r="G599" s="273">
        <v>582.90899999999999</v>
      </c>
      <c r="H599" s="274" t="s">
        <v>643</v>
      </c>
      <c r="I599" s="274" t="s">
        <v>1346</v>
      </c>
      <c r="J599" s="274" t="s">
        <v>98</v>
      </c>
      <c r="K599" s="287" t="s">
        <v>2150</v>
      </c>
      <c r="L599" s="274" t="s">
        <v>155</v>
      </c>
      <c r="M599" s="270"/>
      <c r="N599" s="270"/>
      <c r="O599" s="270"/>
    </row>
    <row r="600" spans="1:15" hidden="1">
      <c r="A600" s="299">
        <v>45749</v>
      </c>
      <c r="B600" s="270" t="s">
        <v>1619</v>
      </c>
      <c r="C600" s="270" t="s">
        <v>125</v>
      </c>
      <c r="D600" s="270"/>
      <c r="E600" s="300"/>
      <c r="F600" s="313">
        <f t="shared" ref="F600" si="2">+E600/G600</f>
        <v>0</v>
      </c>
      <c r="G600" s="314">
        <f>+M600/N600</f>
        <v>582.90859999999998</v>
      </c>
      <c r="H600" s="270" t="s">
        <v>148</v>
      </c>
      <c r="I600" s="270" t="s">
        <v>1645</v>
      </c>
      <c r="J600" s="270" t="s">
        <v>98</v>
      </c>
      <c r="K600" s="270" t="s">
        <v>2150</v>
      </c>
      <c r="L600" s="270" t="s">
        <v>155</v>
      </c>
      <c r="M600" s="270">
        <v>17487258</v>
      </c>
      <c r="N600" s="270">
        <v>30000</v>
      </c>
      <c r="O600" s="270"/>
    </row>
    <row r="601" spans="1:15" hidden="1">
      <c r="A601" s="269">
        <v>45749</v>
      </c>
      <c r="B601" s="270" t="s">
        <v>1347</v>
      </c>
      <c r="C601" s="270" t="s">
        <v>152</v>
      </c>
      <c r="D601" s="271" t="s">
        <v>117</v>
      </c>
      <c r="E601" s="286">
        <v>95000</v>
      </c>
      <c r="F601" s="272">
        <v>162.97569603488711</v>
      </c>
      <c r="G601" s="273">
        <v>582.90899999999999</v>
      </c>
      <c r="H601" s="274" t="s">
        <v>643</v>
      </c>
      <c r="I601" s="274" t="s">
        <v>1348</v>
      </c>
      <c r="J601" s="274" t="s">
        <v>98</v>
      </c>
      <c r="K601" s="287" t="s">
        <v>2150</v>
      </c>
      <c r="L601" s="274" t="s">
        <v>155</v>
      </c>
      <c r="M601" s="270"/>
      <c r="N601" s="270"/>
      <c r="O601" s="270"/>
    </row>
    <row r="602" spans="1:15" hidden="1">
      <c r="A602" s="288">
        <v>45750</v>
      </c>
      <c r="B602" s="270" t="s">
        <v>1671</v>
      </c>
      <c r="C602" s="270" t="s">
        <v>1689</v>
      </c>
      <c r="D602" s="271" t="s">
        <v>1110</v>
      </c>
      <c r="E602" s="272">
        <v>50000</v>
      </c>
      <c r="F602" s="272">
        <v>86.259544618612054</v>
      </c>
      <c r="G602" s="285">
        <v>579.64599999999996</v>
      </c>
      <c r="H602" s="274" t="s">
        <v>176</v>
      </c>
      <c r="I602" s="274" t="s">
        <v>1414</v>
      </c>
      <c r="J602" s="274" t="s">
        <v>98</v>
      </c>
      <c r="K602" s="274" t="s">
        <v>1285</v>
      </c>
      <c r="L602" s="274" t="s">
        <v>155</v>
      </c>
      <c r="M602" s="270"/>
      <c r="N602" s="270"/>
      <c r="O602" s="270"/>
    </row>
    <row r="603" spans="1:15" hidden="1">
      <c r="A603" s="269">
        <v>45750</v>
      </c>
      <c r="B603" s="270" t="s">
        <v>1648</v>
      </c>
      <c r="C603" s="270" t="s">
        <v>175</v>
      </c>
      <c r="D603" s="271" t="s">
        <v>502</v>
      </c>
      <c r="E603" s="272">
        <v>7000</v>
      </c>
      <c r="F603" s="272">
        <v>12.00873549730747</v>
      </c>
      <c r="G603" s="273">
        <v>582.90899999999999</v>
      </c>
      <c r="H603" s="274" t="s">
        <v>187</v>
      </c>
      <c r="I603" s="274" t="s">
        <v>1649</v>
      </c>
      <c r="J603" s="274" t="s">
        <v>98</v>
      </c>
      <c r="K603" s="287" t="s">
        <v>2150</v>
      </c>
      <c r="L603" s="274" t="s">
        <v>155</v>
      </c>
      <c r="M603" s="270"/>
      <c r="N603" s="270"/>
      <c r="O603" s="270"/>
    </row>
    <row r="604" spans="1:15" hidden="1">
      <c r="A604" s="269">
        <v>45750</v>
      </c>
      <c r="B604" s="270" t="s">
        <v>849</v>
      </c>
      <c r="C604" s="270" t="s">
        <v>175</v>
      </c>
      <c r="D604" s="271" t="s">
        <v>502</v>
      </c>
      <c r="E604" s="272">
        <v>7000</v>
      </c>
      <c r="F604" s="272">
        <v>12.076336246605688</v>
      </c>
      <c r="G604" s="285">
        <v>579.64599999999996</v>
      </c>
      <c r="H604" s="274" t="s">
        <v>332</v>
      </c>
      <c r="I604" s="274" t="s">
        <v>1435</v>
      </c>
      <c r="J604" s="274" t="s">
        <v>98</v>
      </c>
      <c r="K604" s="274" t="s">
        <v>1285</v>
      </c>
      <c r="L604" s="274" t="s">
        <v>155</v>
      </c>
      <c r="M604" s="270"/>
      <c r="N604" s="270"/>
      <c r="O604" s="270"/>
    </row>
    <row r="605" spans="1:15" hidden="1">
      <c r="A605" s="289">
        <v>45751</v>
      </c>
      <c r="B605" s="270" t="s">
        <v>1520</v>
      </c>
      <c r="C605" s="270" t="s">
        <v>175</v>
      </c>
      <c r="D605" s="271" t="s">
        <v>117</v>
      </c>
      <c r="E605" s="272">
        <v>7000</v>
      </c>
      <c r="F605" s="272">
        <v>12.076336246605688</v>
      </c>
      <c r="G605" s="285">
        <v>579.64599999999996</v>
      </c>
      <c r="H605" s="274" t="s">
        <v>196</v>
      </c>
      <c r="I605" s="274" t="s">
        <v>1521</v>
      </c>
      <c r="J605" s="274" t="s">
        <v>98</v>
      </c>
      <c r="K605" s="274" t="s">
        <v>1285</v>
      </c>
      <c r="L605" s="274" t="s">
        <v>155</v>
      </c>
      <c r="M605" s="270"/>
      <c r="N605" s="270"/>
      <c r="O605" s="270"/>
    </row>
    <row r="606" spans="1:15" hidden="1">
      <c r="A606" s="269">
        <v>45751</v>
      </c>
      <c r="B606" s="270" t="s">
        <v>1650</v>
      </c>
      <c r="C606" s="276" t="s">
        <v>179</v>
      </c>
      <c r="D606" s="271" t="s">
        <v>502</v>
      </c>
      <c r="E606" s="272">
        <v>140000</v>
      </c>
      <c r="F606" s="272">
        <v>241.52672493211375</v>
      </c>
      <c r="G606" s="285">
        <v>579.64599999999996</v>
      </c>
      <c r="H606" s="274" t="s">
        <v>187</v>
      </c>
      <c r="I606" s="274" t="s">
        <v>1651</v>
      </c>
      <c r="J606" s="274" t="s">
        <v>98</v>
      </c>
      <c r="K606" s="274" t="s">
        <v>1285</v>
      </c>
      <c r="L606" s="274" t="s">
        <v>155</v>
      </c>
      <c r="M606" s="270"/>
      <c r="N606" s="270"/>
      <c r="O606" s="270"/>
    </row>
    <row r="607" spans="1:15" hidden="1">
      <c r="A607" s="269">
        <v>45751</v>
      </c>
      <c r="B607" s="270" t="s">
        <v>1436</v>
      </c>
      <c r="C607" s="276" t="s">
        <v>179</v>
      </c>
      <c r="D607" s="271" t="s">
        <v>502</v>
      </c>
      <c r="E607" s="272">
        <v>140000</v>
      </c>
      <c r="F607" s="272">
        <v>241.52672493211375</v>
      </c>
      <c r="G607" s="285">
        <v>579.64599999999996</v>
      </c>
      <c r="H607" s="274" t="s">
        <v>332</v>
      </c>
      <c r="I607" s="274" t="s">
        <v>1437</v>
      </c>
      <c r="J607" s="274" t="s">
        <v>98</v>
      </c>
      <c r="K607" s="274" t="s">
        <v>1285</v>
      </c>
      <c r="L607" s="274" t="s">
        <v>155</v>
      </c>
      <c r="M607" s="270"/>
      <c r="N607" s="270"/>
      <c r="O607" s="270"/>
    </row>
    <row r="608" spans="1:15" hidden="1">
      <c r="A608" s="269">
        <v>45751</v>
      </c>
      <c r="B608" s="270" t="s">
        <v>1674</v>
      </c>
      <c r="C608" s="276" t="s">
        <v>179</v>
      </c>
      <c r="D608" s="271" t="s">
        <v>117</v>
      </c>
      <c r="E608" s="272">
        <v>30000</v>
      </c>
      <c r="F608" s="272">
        <v>51.755726771167232</v>
      </c>
      <c r="G608" s="285">
        <v>579.64599999999996</v>
      </c>
      <c r="H608" s="274" t="s">
        <v>196</v>
      </c>
      <c r="I608" s="274" t="s">
        <v>1522</v>
      </c>
      <c r="J608" s="274" t="s">
        <v>98</v>
      </c>
      <c r="K608" s="274" t="s">
        <v>1285</v>
      </c>
      <c r="L608" s="274" t="s">
        <v>155</v>
      </c>
      <c r="M608" s="270"/>
      <c r="N608" s="270"/>
      <c r="O608" s="270"/>
    </row>
    <row r="609" spans="1:15" hidden="1">
      <c r="A609" s="269">
        <v>45751</v>
      </c>
      <c r="B609" s="270" t="s">
        <v>1592</v>
      </c>
      <c r="C609" s="276" t="s">
        <v>2344</v>
      </c>
      <c r="D609" s="270" t="s">
        <v>120</v>
      </c>
      <c r="E609" s="272">
        <v>122000</v>
      </c>
      <c r="F609" s="272">
        <v>210.47328886941341</v>
      </c>
      <c r="G609" s="285">
        <v>579.64599999999996</v>
      </c>
      <c r="H609" s="274" t="s">
        <v>217</v>
      </c>
      <c r="I609" s="274" t="s">
        <v>1593</v>
      </c>
      <c r="J609" s="274" t="s">
        <v>98</v>
      </c>
      <c r="K609" s="274" t="s">
        <v>1285</v>
      </c>
      <c r="L609" s="274" t="s">
        <v>155</v>
      </c>
      <c r="M609" s="270"/>
      <c r="N609" s="270"/>
      <c r="O609" s="270"/>
    </row>
    <row r="610" spans="1:15" hidden="1">
      <c r="A610" s="289">
        <v>45752</v>
      </c>
      <c r="B610" s="270" t="s">
        <v>1558</v>
      </c>
      <c r="C610" s="270" t="s">
        <v>199</v>
      </c>
      <c r="D610" s="271" t="s">
        <v>117</v>
      </c>
      <c r="E610" s="272">
        <v>10000</v>
      </c>
      <c r="F610" s="272">
        <v>17.251908923722411</v>
      </c>
      <c r="G610" s="285">
        <v>579.64599999999996</v>
      </c>
      <c r="H610" s="274" t="s">
        <v>497</v>
      </c>
      <c r="I610" s="274" t="s">
        <v>1559</v>
      </c>
      <c r="J610" s="274" t="s">
        <v>98</v>
      </c>
      <c r="K610" s="274" t="s">
        <v>1285</v>
      </c>
      <c r="L610" s="274" t="s">
        <v>155</v>
      </c>
      <c r="M610" s="270"/>
      <c r="N610" s="270"/>
      <c r="O610" s="270"/>
    </row>
    <row r="611" spans="1:15" hidden="1">
      <c r="A611" s="269">
        <v>45752</v>
      </c>
      <c r="B611" s="270" t="s">
        <v>1326</v>
      </c>
      <c r="C611" s="276" t="s">
        <v>179</v>
      </c>
      <c r="D611" s="271" t="s">
        <v>117</v>
      </c>
      <c r="E611" s="272">
        <v>210000</v>
      </c>
      <c r="F611" s="272">
        <v>360.26206491922409</v>
      </c>
      <c r="G611" s="273">
        <v>582.90899999999999</v>
      </c>
      <c r="H611" s="274" t="s">
        <v>203</v>
      </c>
      <c r="I611" s="274" t="s">
        <v>1327</v>
      </c>
      <c r="J611" s="274" t="s">
        <v>98</v>
      </c>
      <c r="K611" s="287" t="s">
        <v>2150</v>
      </c>
      <c r="L611" s="274" t="s">
        <v>155</v>
      </c>
      <c r="M611" s="270"/>
      <c r="N611" s="270"/>
      <c r="O611" s="270"/>
    </row>
    <row r="612" spans="1:15" hidden="1">
      <c r="A612" s="269">
        <v>45752</v>
      </c>
      <c r="B612" s="270" t="s">
        <v>1328</v>
      </c>
      <c r="C612" s="270" t="s">
        <v>175</v>
      </c>
      <c r="D612" s="271" t="s">
        <v>117</v>
      </c>
      <c r="E612" s="272">
        <v>10000</v>
      </c>
      <c r="F612" s="272">
        <v>17.155336424724958</v>
      </c>
      <c r="G612" s="273">
        <v>582.90899999999999</v>
      </c>
      <c r="H612" s="274" t="s">
        <v>203</v>
      </c>
      <c r="I612" s="274" t="s">
        <v>1329</v>
      </c>
      <c r="J612" s="274" t="s">
        <v>98</v>
      </c>
      <c r="K612" s="287" t="s">
        <v>2150</v>
      </c>
      <c r="L612" s="274" t="s">
        <v>155</v>
      </c>
      <c r="M612" s="270"/>
      <c r="N612" s="270"/>
      <c r="O612" s="270"/>
    </row>
    <row r="613" spans="1:15" hidden="1">
      <c r="A613" s="269">
        <v>45752</v>
      </c>
      <c r="B613" s="270" t="s">
        <v>1438</v>
      </c>
      <c r="C613" s="270" t="s">
        <v>403</v>
      </c>
      <c r="D613" s="271" t="s">
        <v>502</v>
      </c>
      <c r="E613" s="272">
        <v>10500</v>
      </c>
      <c r="F613" s="272">
        <v>18.013103245961204</v>
      </c>
      <c r="G613" s="273">
        <v>582.90899999999999</v>
      </c>
      <c r="H613" s="274" t="s">
        <v>332</v>
      </c>
      <c r="I613" s="274" t="s">
        <v>1439</v>
      </c>
      <c r="J613" s="274" t="s">
        <v>98</v>
      </c>
      <c r="K613" s="287" t="s">
        <v>2150</v>
      </c>
      <c r="L613" s="274" t="s">
        <v>155</v>
      </c>
      <c r="M613" s="270"/>
      <c r="N613" s="270"/>
      <c r="O613" s="270"/>
    </row>
    <row r="614" spans="1:15" hidden="1">
      <c r="A614" s="269">
        <v>45752</v>
      </c>
      <c r="B614" s="270" t="s">
        <v>1560</v>
      </c>
      <c r="C614" s="276" t="s">
        <v>179</v>
      </c>
      <c r="D614" s="271" t="s">
        <v>117</v>
      </c>
      <c r="E614" s="272">
        <v>285000</v>
      </c>
      <c r="F614" s="272">
        <v>488.92708810466127</v>
      </c>
      <c r="G614" s="273">
        <v>582.90899999999999</v>
      </c>
      <c r="H614" s="274" t="s">
        <v>497</v>
      </c>
      <c r="I614" s="274" t="s">
        <v>1561</v>
      </c>
      <c r="J614" s="274" t="s">
        <v>98</v>
      </c>
      <c r="K614" s="287" t="s">
        <v>2150</v>
      </c>
      <c r="L614" s="274" t="s">
        <v>155</v>
      </c>
      <c r="M614" s="270"/>
      <c r="N614" s="270"/>
      <c r="O614" s="270"/>
    </row>
    <row r="615" spans="1:15" hidden="1">
      <c r="A615" s="269">
        <v>45754</v>
      </c>
      <c r="B615" s="270" t="s">
        <v>1359</v>
      </c>
      <c r="C615" s="270" t="s">
        <v>127</v>
      </c>
      <c r="D615" s="271" t="s">
        <v>117</v>
      </c>
      <c r="E615" s="272">
        <v>30000</v>
      </c>
      <c r="F615" s="272">
        <v>51.466009274174873</v>
      </c>
      <c r="G615" s="273">
        <v>582.90899999999999</v>
      </c>
      <c r="H615" s="274" t="s">
        <v>643</v>
      </c>
      <c r="I615" s="274" t="s">
        <v>1360</v>
      </c>
      <c r="J615" s="274" t="s">
        <v>98</v>
      </c>
      <c r="K615" s="287" t="s">
        <v>2150</v>
      </c>
      <c r="L615" s="274" t="s">
        <v>155</v>
      </c>
      <c r="M615" s="270"/>
      <c r="N615" s="270"/>
      <c r="O615" s="270"/>
    </row>
    <row r="616" spans="1:15" hidden="1">
      <c r="A616" s="269">
        <v>45754</v>
      </c>
      <c r="B616" s="270" t="s">
        <v>1361</v>
      </c>
      <c r="C616" s="270" t="s">
        <v>272</v>
      </c>
      <c r="D616" s="270" t="s">
        <v>2343</v>
      </c>
      <c r="E616" s="272">
        <v>40000</v>
      </c>
      <c r="F616" s="272">
        <v>68.62134569889983</v>
      </c>
      <c r="G616" s="273">
        <v>582.90899999999999</v>
      </c>
      <c r="H616" s="274" t="s">
        <v>643</v>
      </c>
      <c r="I616" s="274" t="s">
        <v>1362</v>
      </c>
      <c r="J616" s="274" t="s">
        <v>98</v>
      </c>
      <c r="K616" s="287" t="s">
        <v>2150</v>
      </c>
      <c r="L616" s="274" t="s">
        <v>155</v>
      </c>
      <c r="M616" s="270"/>
      <c r="N616" s="270"/>
      <c r="O616" s="270"/>
    </row>
    <row r="617" spans="1:15" hidden="1">
      <c r="A617" s="269">
        <v>45755</v>
      </c>
      <c r="B617" s="270" t="s">
        <v>1322</v>
      </c>
      <c r="C617" s="270" t="s">
        <v>127</v>
      </c>
      <c r="D617" s="270" t="s">
        <v>119</v>
      </c>
      <c r="E617" s="272">
        <v>174625</v>
      </c>
      <c r="F617" s="272">
        <v>299.57506231675956</v>
      </c>
      <c r="G617" s="273">
        <v>582.90899999999999</v>
      </c>
      <c r="H617" s="274" t="s">
        <v>153</v>
      </c>
      <c r="I617" s="274" t="s">
        <v>1323</v>
      </c>
      <c r="J617" s="274" t="s">
        <v>98</v>
      </c>
      <c r="K617" s="287" t="s">
        <v>2150</v>
      </c>
      <c r="L617" s="274" t="s">
        <v>155</v>
      </c>
      <c r="M617" s="270"/>
      <c r="N617" s="270"/>
      <c r="O617" s="270"/>
    </row>
    <row r="618" spans="1:15" hidden="1">
      <c r="A618" s="269">
        <v>45755</v>
      </c>
      <c r="B618" s="270" t="s">
        <v>644</v>
      </c>
      <c r="C618" s="270" t="s">
        <v>406</v>
      </c>
      <c r="D618" s="271" t="s">
        <v>502</v>
      </c>
      <c r="E618" s="272">
        <v>67051</v>
      </c>
      <c r="F618" s="272">
        <v>115.02824626142331</v>
      </c>
      <c r="G618" s="273">
        <v>582.90899999999999</v>
      </c>
      <c r="H618" s="274" t="s">
        <v>153</v>
      </c>
      <c r="I618" s="274" t="s">
        <v>1340</v>
      </c>
      <c r="J618" s="274" t="s">
        <v>98</v>
      </c>
      <c r="K618" s="287" t="s">
        <v>2150</v>
      </c>
      <c r="L618" s="274" t="s">
        <v>155</v>
      </c>
      <c r="M618" s="270"/>
      <c r="N618" s="270"/>
      <c r="O618" s="270"/>
    </row>
    <row r="619" spans="1:15" hidden="1">
      <c r="A619" s="269">
        <v>45755</v>
      </c>
      <c r="B619" s="270" t="s">
        <v>1363</v>
      </c>
      <c r="C619" s="270" t="s">
        <v>127</v>
      </c>
      <c r="D619" s="270" t="s">
        <v>119</v>
      </c>
      <c r="E619" s="272">
        <v>30000</v>
      </c>
      <c r="F619" s="272">
        <v>51.466009274174873</v>
      </c>
      <c r="G619" s="273">
        <v>582.90899999999999</v>
      </c>
      <c r="H619" s="274" t="s">
        <v>643</v>
      </c>
      <c r="I619" s="274" t="s">
        <v>1364</v>
      </c>
      <c r="J619" s="274" t="s">
        <v>98</v>
      </c>
      <c r="K619" s="287" t="s">
        <v>2150</v>
      </c>
      <c r="L619" s="274" t="s">
        <v>155</v>
      </c>
      <c r="M619" s="270"/>
      <c r="N619" s="270"/>
      <c r="O619" s="270"/>
    </row>
    <row r="620" spans="1:15" hidden="1">
      <c r="A620" s="269">
        <v>45755</v>
      </c>
      <c r="B620" s="270" t="s">
        <v>1365</v>
      </c>
      <c r="C620" s="270" t="s">
        <v>127</v>
      </c>
      <c r="D620" s="271" t="s">
        <v>117</v>
      </c>
      <c r="E620" s="272">
        <v>30000</v>
      </c>
      <c r="F620" s="272">
        <v>51.466009274174873</v>
      </c>
      <c r="G620" s="273">
        <v>582.90899999999999</v>
      </c>
      <c r="H620" s="274" t="s">
        <v>643</v>
      </c>
      <c r="I620" s="274" t="s">
        <v>1366</v>
      </c>
      <c r="J620" s="274" t="s">
        <v>98</v>
      </c>
      <c r="K620" s="287" t="s">
        <v>2150</v>
      </c>
      <c r="L620" s="274" t="s">
        <v>155</v>
      </c>
      <c r="M620" s="270"/>
      <c r="N620" s="270"/>
      <c r="O620" s="270"/>
    </row>
    <row r="621" spans="1:15" hidden="1">
      <c r="A621" s="269">
        <v>45755</v>
      </c>
      <c r="B621" s="270" t="s">
        <v>1367</v>
      </c>
      <c r="C621" s="270" t="s">
        <v>127</v>
      </c>
      <c r="D621" s="271" t="s">
        <v>117</v>
      </c>
      <c r="E621" s="272">
        <v>20500</v>
      </c>
      <c r="F621" s="272">
        <v>35.168439670686162</v>
      </c>
      <c r="G621" s="273">
        <v>582.90899999999999</v>
      </c>
      <c r="H621" s="274" t="s">
        <v>643</v>
      </c>
      <c r="I621" s="274" t="s">
        <v>1368</v>
      </c>
      <c r="J621" s="274" t="s">
        <v>98</v>
      </c>
      <c r="K621" s="287" t="s">
        <v>2150</v>
      </c>
      <c r="L621" s="274" t="s">
        <v>155</v>
      </c>
      <c r="M621" s="270"/>
      <c r="N621" s="270"/>
      <c r="O621" s="270"/>
    </row>
    <row r="622" spans="1:15" hidden="1">
      <c r="A622" s="269">
        <v>45755</v>
      </c>
      <c r="B622" s="270" t="s">
        <v>1369</v>
      </c>
      <c r="C622" s="270" t="s">
        <v>127</v>
      </c>
      <c r="D622" s="271" t="s">
        <v>117</v>
      </c>
      <c r="E622" s="272">
        <v>30000</v>
      </c>
      <c r="F622" s="272">
        <v>51.466009274174873</v>
      </c>
      <c r="G622" s="273">
        <v>582.90899999999999</v>
      </c>
      <c r="H622" s="274" t="s">
        <v>643</v>
      </c>
      <c r="I622" s="274" t="s">
        <v>1370</v>
      </c>
      <c r="J622" s="274" t="s">
        <v>98</v>
      </c>
      <c r="K622" s="287" t="s">
        <v>2150</v>
      </c>
      <c r="L622" s="274" t="s">
        <v>155</v>
      </c>
      <c r="M622" s="270"/>
      <c r="N622" s="270"/>
      <c r="O622" s="270"/>
    </row>
    <row r="623" spans="1:15" hidden="1">
      <c r="A623" s="269">
        <v>45755</v>
      </c>
      <c r="B623" s="270" t="s">
        <v>1371</v>
      </c>
      <c r="C623" s="270" t="s">
        <v>127</v>
      </c>
      <c r="D623" s="271" t="s">
        <v>117</v>
      </c>
      <c r="E623" s="272">
        <v>30000</v>
      </c>
      <c r="F623" s="272">
        <v>51.466009274174873</v>
      </c>
      <c r="G623" s="273">
        <v>582.90899999999999</v>
      </c>
      <c r="H623" s="274" t="s">
        <v>643</v>
      </c>
      <c r="I623" s="274" t="s">
        <v>1372</v>
      </c>
      <c r="J623" s="274" t="s">
        <v>98</v>
      </c>
      <c r="K623" s="287" t="s">
        <v>2150</v>
      </c>
      <c r="L623" s="274" t="s">
        <v>155</v>
      </c>
      <c r="M623" s="270"/>
      <c r="N623" s="270"/>
      <c r="O623" s="270"/>
    </row>
    <row r="624" spans="1:15" hidden="1">
      <c r="A624" s="269">
        <v>45755</v>
      </c>
      <c r="B624" s="270" t="s">
        <v>1373</v>
      </c>
      <c r="C624" s="270" t="s">
        <v>127</v>
      </c>
      <c r="D624" s="270" t="s">
        <v>120</v>
      </c>
      <c r="E624" s="272">
        <v>30000</v>
      </c>
      <c r="F624" s="272">
        <v>51.466009274174873</v>
      </c>
      <c r="G624" s="273">
        <v>582.90899999999999</v>
      </c>
      <c r="H624" s="274" t="s">
        <v>643</v>
      </c>
      <c r="I624" s="274" t="s">
        <v>1374</v>
      </c>
      <c r="J624" s="274" t="s">
        <v>98</v>
      </c>
      <c r="K624" s="287" t="s">
        <v>2150</v>
      </c>
      <c r="L624" s="274" t="s">
        <v>155</v>
      </c>
      <c r="M624" s="270"/>
      <c r="N624" s="270"/>
      <c r="O624" s="270"/>
    </row>
    <row r="625" spans="1:15" hidden="1">
      <c r="A625" s="269">
        <v>45755</v>
      </c>
      <c r="B625" s="270" t="s">
        <v>1375</v>
      </c>
      <c r="C625" s="270" t="s">
        <v>272</v>
      </c>
      <c r="D625" s="270" t="s">
        <v>2343</v>
      </c>
      <c r="E625" s="272">
        <v>30000</v>
      </c>
      <c r="F625" s="272">
        <v>51.466009274174873</v>
      </c>
      <c r="G625" s="273">
        <v>582.90899999999999</v>
      </c>
      <c r="H625" s="274" t="s">
        <v>643</v>
      </c>
      <c r="I625" s="274" t="s">
        <v>1376</v>
      </c>
      <c r="J625" s="274" t="s">
        <v>98</v>
      </c>
      <c r="K625" s="287" t="s">
        <v>2150</v>
      </c>
      <c r="L625" s="274" t="s">
        <v>155</v>
      </c>
      <c r="M625" s="270"/>
      <c r="N625" s="270"/>
      <c r="O625" s="270"/>
    </row>
    <row r="626" spans="1:15" hidden="1">
      <c r="A626" s="269">
        <v>45755</v>
      </c>
      <c r="B626" s="270" t="s">
        <v>1377</v>
      </c>
      <c r="C626" s="270" t="s">
        <v>272</v>
      </c>
      <c r="D626" s="270" t="s">
        <v>2343</v>
      </c>
      <c r="E626" s="272">
        <v>25000</v>
      </c>
      <c r="F626" s="272">
        <v>42.88834106181239</v>
      </c>
      <c r="G626" s="273">
        <v>582.90899999999999</v>
      </c>
      <c r="H626" s="274" t="s">
        <v>643</v>
      </c>
      <c r="I626" s="274" t="s">
        <v>1378</v>
      </c>
      <c r="J626" s="274" t="s">
        <v>98</v>
      </c>
      <c r="K626" s="287" t="s">
        <v>2150</v>
      </c>
      <c r="L626" s="274" t="s">
        <v>155</v>
      </c>
      <c r="M626" s="270"/>
      <c r="N626" s="270"/>
      <c r="O626" s="270"/>
    </row>
    <row r="627" spans="1:15" hidden="1">
      <c r="A627" s="269">
        <v>45755</v>
      </c>
      <c r="B627" s="270" t="s">
        <v>1379</v>
      </c>
      <c r="C627" s="270" t="s">
        <v>272</v>
      </c>
      <c r="D627" s="270" t="s">
        <v>2343</v>
      </c>
      <c r="E627" s="272">
        <v>25000</v>
      </c>
      <c r="F627" s="272">
        <v>42.88834106181239</v>
      </c>
      <c r="G627" s="273">
        <v>582.90899999999999</v>
      </c>
      <c r="H627" s="274" t="s">
        <v>643</v>
      </c>
      <c r="I627" s="274" t="s">
        <v>1380</v>
      </c>
      <c r="J627" s="274" t="s">
        <v>98</v>
      </c>
      <c r="K627" s="287" t="s">
        <v>2150</v>
      </c>
      <c r="L627" s="274" t="s">
        <v>155</v>
      </c>
      <c r="M627" s="270"/>
      <c r="N627" s="270"/>
      <c r="O627" s="270"/>
    </row>
    <row r="628" spans="1:15" hidden="1">
      <c r="A628" s="269">
        <v>45755</v>
      </c>
      <c r="B628" s="270" t="s">
        <v>1381</v>
      </c>
      <c r="C628" s="270" t="s">
        <v>272</v>
      </c>
      <c r="D628" s="270" t="s">
        <v>2343</v>
      </c>
      <c r="E628" s="272">
        <v>25000</v>
      </c>
      <c r="F628" s="272">
        <v>42.88834106181239</v>
      </c>
      <c r="G628" s="273">
        <v>582.90899999999999</v>
      </c>
      <c r="H628" s="274" t="s">
        <v>643</v>
      </c>
      <c r="I628" s="274" t="s">
        <v>1382</v>
      </c>
      <c r="J628" s="274" t="s">
        <v>98</v>
      </c>
      <c r="K628" s="287" t="s">
        <v>2150</v>
      </c>
      <c r="L628" s="274" t="s">
        <v>155</v>
      </c>
      <c r="M628" s="270"/>
      <c r="N628" s="270"/>
      <c r="O628" s="270"/>
    </row>
    <row r="629" spans="1:15" hidden="1">
      <c r="A629" s="269">
        <v>45755</v>
      </c>
      <c r="B629" s="270" t="s">
        <v>1415</v>
      </c>
      <c r="C629" s="270" t="s">
        <v>175</v>
      </c>
      <c r="D629" s="271" t="s">
        <v>502</v>
      </c>
      <c r="E629" s="272">
        <v>9000</v>
      </c>
      <c r="F629" s="272">
        <v>15.439802782252462</v>
      </c>
      <c r="G629" s="273">
        <v>582.90899999999999</v>
      </c>
      <c r="H629" s="274" t="s">
        <v>176</v>
      </c>
      <c r="I629" s="274" t="s">
        <v>1416</v>
      </c>
      <c r="J629" s="274" t="s">
        <v>98</v>
      </c>
      <c r="K629" s="287" t="s">
        <v>2150</v>
      </c>
      <c r="L629" s="274" t="s">
        <v>155</v>
      </c>
      <c r="M629" s="270"/>
      <c r="N629" s="270"/>
      <c r="O629" s="270"/>
    </row>
    <row r="630" spans="1:15" hidden="1">
      <c r="A630" s="269">
        <v>45755</v>
      </c>
      <c r="B630" s="270" t="s">
        <v>1417</v>
      </c>
      <c r="C630" s="276" t="s">
        <v>179</v>
      </c>
      <c r="D630" s="271" t="s">
        <v>502</v>
      </c>
      <c r="E630" s="272">
        <v>70000</v>
      </c>
      <c r="F630" s="272">
        <v>120.0873549730747</v>
      </c>
      <c r="G630" s="273">
        <v>582.90899999999999</v>
      </c>
      <c r="H630" s="274" t="s">
        <v>176</v>
      </c>
      <c r="I630" s="274" t="s">
        <v>1418</v>
      </c>
      <c r="J630" s="274" t="s">
        <v>98</v>
      </c>
      <c r="K630" s="287" t="s">
        <v>2150</v>
      </c>
      <c r="L630" s="274" t="s">
        <v>155</v>
      </c>
      <c r="M630" s="270"/>
      <c r="N630" s="270"/>
      <c r="O630" s="270"/>
    </row>
    <row r="631" spans="1:15" hidden="1">
      <c r="A631" s="269">
        <v>45755</v>
      </c>
      <c r="B631" s="270" t="s">
        <v>1447</v>
      </c>
      <c r="C631" s="270" t="s">
        <v>175</v>
      </c>
      <c r="D631" s="271" t="s">
        <v>502</v>
      </c>
      <c r="E631" s="272">
        <v>10000</v>
      </c>
      <c r="F631" s="272">
        <v>17.155336424724958</v>
      </c>
      <c r="G631" s="273">
        <v>582.90899999999999</v>
      </c>
      <c r="H631" s="274" t="s">
        <v>343</v>
      </c>
      <c r="I631" s="274" t="s">
        <v>1448</v>
      </c>
      <c r="J631" s="274" t="s">
        <v>98</v>
      </c>
      <c r="K631" s="287" t="s">
        <v>2150</v>
      </c>
      <c r="L631" s="274" t="s">
        <v>155</v>
      </c>
      <c r="M631" s="270"/>
      <c r="N631" s="270"/>
      <c r="O631" s="270"/>
    </row>
    <row r="632" spans="1:15" hidden="1">
      <c r="A632" s="269">
        <v>45755</v>
      </c>
      <c r="B632" s="270" t="s">
        <v>1449</v>
      </c>
      <c r="C632" s="276" t="s">
        <v>179</v>
      </c>
      <c r="D632" s="271" t="s">
        <v>502</v>
      </c>
      <c r="E632" s="272">
        <v>70000</v>
      </c>
      <c r="F632" s="272">
        <v>120.0873549730747</v>
      </c>
      <c r="G632" s="273">
        <v>582.90899999999999</v>
      </c>
      <c r="H632" s="274" t="s">
        <v>343</v>
      </c>
      <c r="I632" s="274" t="s">
        <v>1450</v>
      </c>
      <c r="J632" s="274" t="s">
        <v>98</v>
      </c>
      <c r="K632" s="287" t="s">
        <v>2150</v>
      </c>
      <c r="L632" s="274" t="s">
        <v>155</v>
      </c>
      <c r="M632" s="270"/>
      <c r="N632" s="270"/>
      <c r="O632" s="270"/>
    </row>
    <row r="633" spans="1:15" hidden="1">
      <c r="A633" s="269">
        <v>45755</v>
      </c>
      <c r="B633" s="270" t="s">
        <v>1473</v>
      </c>
      <c r="C633" s="270" t="s">
        <v>175</v>
      </c>
      <c r="D633" s="271" t="s">
        <v>117</v>
      </c>
      <c r="E633" s="272">
        <v>12000</v>
      </c>
      <c r="F633" s="272">
        <v>20.586403709669948</v>
      </c>
      <c r="G633" s="273">
        <v>582.90899999999999</v>
      </c>
      <c r="H633" s="274" t="s">
        <v>190</v>
      </c>
      <c r="I633" s="274" t="s">
        <v>1474</v>
      </c>
      <c r="J633" s="274" t="s">
        <v>98</v>
      </c>
      <c r="K633" s="287" t="s">
        <v>2150</v>
      </c>
      <c r="L633" s="274" t="s">
        <v>155</v>
      </c>
      <c r="M633" s="270"/>
      <c r="N633" s="270"/>
      <c r="O633" s="270"/>
    </row>
    <row r="634" spans="1:15" hidden="1">
      <c r="A634" s="269">
        <v>45755</v>
      </c>
      <c r="B634" s="270" t="s">
        <v>911</v>
      </c>
      <c r="C634" s="277" t="s">
        <v>2342</v>
      </c>
      <c r="D634" s="270" t="s">
        <v>118</v>
      </c>
      <c r="E634" s="272">
        <v>4363</v>
      </c>
      <c r="F634" s="272">
        <v>7.4848732821074986</v>
      </c>
      <c r="G634" s="273">
        <v>582.90899999999999</v>
      </c>
      <c r="H634" s="274" t="s">
        <v>196</v>
      </c>
      <c r="I634" s="274" t="s">
        <v>1523</v>
      </c>
      <c r="J634" s="274" t="s">
        <v>98</v>
      </c>
      <c r="K634" s="287" t="s">
        <v>2150</v>
      </c>
      <c r="L634" s="274" t="s">
        <v>155</v>
      </c>
      <c r="M634" s="270"/>
      <c r="N634" s="270"/>
      <c r="O634" s="270"/>
    </row>
    <row r="635" spans="1:15" hidden="1">
      <c r="A635" s="269">
        <v>45755</v>
      </c>
      <c r="B635" s="270" t="s">
        <v>882</v>
      </c>
      <c r="C635" s="277" t="s">
        <v>2342</v>
      </c>
      <c r="D635" s="270" t="s">
        <v>118</v>
      </c>
      <c r="E635" s="272">
        <v>12600</v>
      </c>
      <c r="F635" s="272">
        <v>21.615723895153447</v>
      </c>
      <c r="G635" s="273">
        <v>582.90899999999999</v>
      </c>
      <c r="H635" s="274" t="s">
        <v>196</v>
      </c>
      <c r="I635" s="274" t="s">
        <v>1524</v>
      </c>
      <c r="J635" s="274" t="s">
        <v>98</v>
      </c>
      <c r="K635" s="287" t="s">
        <v>2150</v>
      </c>
      <c r="L635" s="274" t="s">
        <v>155</v>
      </c>
      <c r="M635" s="270"/>
      <c r="N635" s="270"/>
      <c r="O635" s="270"/>
    </row>
    <row r="636" spans="1:15" hidden="1">
      <c r="A636" s="269">
        <v>45755</v>
      </c>
      <c r="B636" s="270" t="s">
        <v>1562</v>
      </c>
      <c r="C636" s="270" t="s">
        <v>199</v>
      </c>
      <c r="D636" s="271" t="s">
        <v>117</v>
      </c>
      <c r="E636" s="272">
        <v>12000</v>
      </c>
      <c r="F636" s="272">
        <v>20.586403709669948</v>
      </c>
      <c r="G636" s="273">
        <v>582.90899999999999</v>
      </c>
      <c r="H636" s="274" t="s">
        <v>497</v>
      </c>
      <c r="I636" s="274" t="s">
        <v>1563</v>
      </c>
      <c r="J636" s="274" t="s">
        <v>98</v>
      </c>
      <c r="K636" s="287" t="s">
        <v>2150</v>
      </c>
      <c r="L636" s="274" t="s">
        <v>155</v>
      </c>
      <c r="M636" s="270"/>
      <c r="N636" s="270"/>
      <c r="O636" s="270"/>
    </row>
    <row r="637" spans="1:15" hidden="1">
      <c r="A637" s="269">
        <v>45755</v>
      </c>
      <c r="B637" s="270" t="s">
        <v>1601</v>
      </c>
      <c r="C637" s="270" t="s">
        <v>123</v>
      </c>
      <c r="D637" s="271" t="s">
        <v>117</v>
      </c>
      <c r="E637" s="272">
        <v>150000</v>
      </c>
      <c r="F637" s="272">
        <v>257.33004637087436</v>
      </c>
      <c r="G637" s="282">
        <v>579.64599999999996</v>
      </c>
      <c r="H637" s="274" t="s">
        <v>148</v>
      </c>
      <c r="I637" s="274" t="s">
        <v>1620</v>
      </c>
      <c r="J637" s="274" t="s">
        <v>98</v>
      </c>
      <c r="K637" s="290" t="s">
        <v>205</v>
      </c>
      <c r="L637" s="274" t="s">
        <v>155</v>
      </c>
      <c r="M637" s="270"/>
      <c r="N637" s="270"/>
      <c r="O637" s="270"/>
    </row>
    <row r="638" spans="1:15" hidden="1">
      <c r="A638" s="269">
        <v>45755</v>
      </c>
      <c r="B638" s="270" t="s">
        <v>1602</v>
      </c>
      <c r="C638" s="270" t="s">
        <v>123</v>
      </c>
      <c r="D638" s="271" t="s">
        <v>117</v>
      </c>
      <c r="E638" s="272">
        <v>200000</v>
      </c>
      <c r="F638" s="272">
        <v>343.10672849449912</v>
      </c>
      <c r="G638" s="282">
        <v>579.64599999999996</v>
      </c>
      <c r="H638" s="274" t="s">
        <v>148</v>
      </c>
      <c r="I638" s="274" t="s">
        <v>1621</v>
      </c>
      <c r="J638" s="274" t="s">
        <v>98</v>
      </c>
      <c r="K638" s="290" t="s">
        <v>205</v>
      </c>
      <c r="L638" s="274" t="s">
        <v>155</v>
      </c>
      <c r="M638" s="270"/>
      <c r="N638" s="270"/>
      <c r="O638" s="270"/>
    </row>
    <row r="639" spans="1:15" hidden="1">
      <c r="A639" s="269">
        <v>45756</v>
      </c>
      <c r="B639" s="270" t="s">
        <v>1383</v>
      </c>
      <c r="C639" s="270" t="s">
        <v>127</v>
      </c>
      <c r="D639" s="270" t="s">
        <v>118</v>
      </c>
      <c r="E639" s="272">
        <v>31500</v>
      </c>
      <c r="F639" s="272">
        <v>54.039309737883613</v>
      </c>
      <c r="G639" s="273">
        <v>582.90899999999999</v>
      </c>
      <c r="H639" s="274" t="s">
        <v>643</v>
      </c>
      <c r="I639" s="274" t="s">
        <v>1384</v>
      </c>
      <c r="J639" s="274" t="s">
        <v>98</v>
      </c>
      <c r="K639" s="287" t="s">
        <v>2150</v>
      </c>
      <c r="L639" s="274" t="s">
        <v>155</v>
      </c>
      <c r="M639" s="270"/>
      <c r="N639" s="270"/>
      <c r="O639" s="270"/>
    </row>
    <row r="640" spans="1:15" hidden="1">
      <c r="A640" s="269">
        <v>45756</v>
      </c>
      <c r="B640" s="270" t="s">
        <v>1664</v>
      </c>
      <c r="C640" s="276" t="s">
        <v>179</v>
      </c>
      <c r="D640" s="271" t="s">
        <v>117</v>
      </c>
      <c r="E640" s="272">
        <v>90000</v>
      </c>
      <c r="F640" s="272">
        <v>154.39802782252463</v>
      </c>
      <c r="G640" s="273">
        <v>582.90899999999999</v>
      </c>
      <c r="H640" s="274" t="s">
        <v>190</v>
      </c>
      <c r="I640" s="274" t="s">
        <v>1475</v>
      </c>
      <c r="J640" s="274" t="s">
        <v>98</v>
      </c>
      <c r="K640" s="287" t="s">
        <v>2150</v>
      </c>
      <c r="L640" s="274" t="s">
        <v>155</v>
      </c>
      <c r="M640" s="270"/>
      <c r="N640" s="270"/>
      <c r="O640" s="270"/>
    </row>
    <row r="641" spans="1:15" hidden="1">
      <c r="A641" s="269">
        <v>45756</v>
      </c>
      <c r="B641" s="270" t="s">
        <v>610</v>
      </c>
      <c r="C641" s="276" t="s">
        <v>1321</v>
      </c>
      <c r="D641" s="270" t="s">
        <v>118</v>
      </c>
      <c r="E641" s="272">
        <v>25000</v>
      </c>
      <c r="F641" s="272">
        <v>42.88834106181239</v>
      </c>
      <c r="G641" s="273">
        <v>582.90899999999999</v>
      </c>
      <c r="H641" s="274" t="s">
        <v>193</v>
      </c>
      <c r="I641" s="274" t="s">
        <v>1496</v>
      </c>
      <c r="J641" s="274" t="s">
        <v>98</v>
      </c>
      <c r="K641" s="287" t="s">
        <v>2150</v>
      </c>
      <c r="L641" s="274" t="s">
        <v>155</v>
      </c>
      <c r="M641" s="270"/>
      <c r="N641" s="270"/>
      <c r="O641" s="270"/>
    </row>
    <row r="642" spans="1:15" hidden="1">
      <c r="A642" s="269">
        <v>45756</v>
      </c>
      <c r="B642" s="270" t="s">
        <v>1497</v>
      </c>
      <c r="C642" s="270" t="s">
        <v>175</v>
      </c>
      <c r="D642" s="271" t="s">
        <v>117</v>
      </c>
      <c r="E642" s="272">
        <v>36000</v>
      </c>
      <c r="F642" s="272">
        <v>61.759211129009849</v>
      </c>
      <c r="G642" s="273">
        <v>582.90899999999999</v>
      </c>
      <c r="H642" s="274" t="s">
        <v>193</v>
      </c>
      <c r="I642" s="274" t="s">
        <v>1498</v>
      </c>
      <c r="J642" s="274" t="s">
        <v>98</v>
      </c>
      <c r="K642" s="287" t="s">
        <v>2150</v>
      </c>
      <c r="L642" s="274" t="s">
        <v>155</v>
      </c>
      <c r="M642" s="270"/>
      <c r="N642" s="270"/>
      <c r="O642" s="270"/>
    </row>
    <row r="643" spans="1:15" hidden="1">
      <c r="A643" s="269">
        <v>45756</v>
      </c>
      <c r="B643" s="270" t="s">
        <v>1663</v>
      </c>
      <c r="C643" s="276" t="s">
        <v>179</v>
      </c>
      <c r="D643" s="271" t="s">
        <v>117</v>
      </c>
      <c r="E643" s="272">
        <v>50000</v>
      </c>
      <c r="F643" s="272">
        <v>85.776682123624781</v>
      </c>
      <c r="G643" s="273">
        <v>582.90899999999999</v>
      </c>
      <c r="H643" s="274" t="s">
        <v>193</v>
      </c>
      <c r="I643" s="274" t="s">
        <v>1499</v>
      </c>
      <c r="J643" s="274" t="s">
        <v>98</v>
      </c>
      <c r="K643" s="287" t="s">
        <v>2150</v>
      </c>
      <c r="L643" s="274" t="s">
        <v>155</v>
      </c>
      <c r="M643" s="270"/>
      <c r="N643" s="270"/>
      <c r="O643" s="270"/>
    </row>
    <row r="644" spans="1:15" hidden="1">
      <c r="A644" s="269">
        <v>45756</v>
      </c>
      <c r="B644" s="270" t="s">
        <v>1525</v>
      </c>
      <c r="C644" s="270" t="s">
        <v>175</v>
      </c>
      <c r="D644" s="271" t="s">
        <v>117</v>
      </c>
      <c r="E644" s="272">
        <v>8000</v>
      </c>
      <c r="F644" s="272">
        <v>13.724269139779965</v>
      </c>
      <c r="G644" s="273">
        <v>582.90899999999999</v>
      </c>
      <c r="H644" s="274" t="s">
        <v>196</v>
      </c>
      <c r="I644" s="274" t="s">
        <v>1526</v>
      </c>
      <c r="J644" s="274" t="s">
        <v>98</v>
      </c>
      <c r="K644" s="287" t="s">
        <v>2150</v>
      </c>
      <c r="L644" s="274" t="s">
        <v>155</v>
      </c>
      <c r="M644" s="270"/>
      <c r="N644" s="270"/>
      <c r="O644" s="270"/>
    </row>
    <row r="645" spans="1:15" hidden="1">
      <c r="A645" s="269">
        <v>45756</v>
      </c>
      <c r="B645" s="270" t="s">
        <v>1564</v>
      </c>
      <c r="C645" s="276" t="s">
        <v>179</v>
      </c>
      <c r="D645" s="271" t="s">
        <v>117</v>
      </c>
      <c r="E645" s="272">
        <v>90000</v>
      </c>
      <c r="F645" s="272">
        <v>154.39802782252463</v>
      </c>
      <c r="G645" s="273">
        <v>582.90899999999999</v>
      </c>
      <c r="H645" s="274" t="s">
        <v>497</v>
      </c>
      <c r="I645" s="274" t="s">
        <v>1565</v>
      </c>
      <c r="J645" s="274" t="s">
        <v>98</v>
      </c>
      <c r="K645" s="287" t="s">
        <v>2150</v>
      </c>
      <c r="L645" s="274" t="s">
        <v>155</v>
      </c>
      <c r="M645" s="270"/>
      <c r="N645" s="270"/>
      <c r="O645" s="270"/>
    </row>
    <row r="646" spans="1:15" hidden="1">
      <c r="A646" s="269">
        <v>45757</v>
      </c>
      <c r="B646" s="270" t="s">
        <v>1330</v>
      </c>
      <c r="C646" s="270" t="s">
        <v>175</v>
      </c>
      <c r="D646" s="271" t="s">
        <v>117</v>
      </c>
      <c r="E646" s="272">
        <v>7000</v>
      </c>
      <c r="F646" s="272">
        <v>12.00873549730747</v>
      </c>
      <c r="G646" s="273">
        <v>582.90899999999999</v>
      </c>
      <c r="H646" s="274" t="s">
        <v>203</v>
      </c>
      <c r="I646" s="274" t="s">
        <v>1331</v>
      </c>
      <c r="J646" s="274" t="s">
        <v>98</v>
      </c>
      <c r="K646" s="287" t="s">
        <v>2150</v>
      </c>
      <c r="L646" s="274" t="s">
        <v>155</v>
      </c>
      <c r="M646" s="270"/>
      <c r="N646" s="270"/>
      <c r="O646" s="270"/>
    </row>
    <row r="647" spans="1:15" hidden="1">
      <c r="A647" s="269">
        <v>45757</v>
      </c>
      <c r="B647" s="270" t="s">
        <v>1476</v>
      </c>
      <c r="C647" s="270" t="s">
        <v>327</v>
      </c>
      <c r="D647" s="271" t="s">
        <v>117</v>
      </c>
      <c r="E647" s="272">
        <v>2000</v>
      </c>
      <c r="F647" s="272">
        <v>3.4310672849449912</v>
      </c>
      <c r="G647" s="273">
        <v>582.90899999999999</v>
      </c>
      <c r="H647" s="274" t="s">
        <v>190</v>
      </c>
      <c r="I647" s="274" t="s">
        <v>1477</v>
      </c>
      <c r="J647" s="274" t="s">
        <v>98</v>
      </c>
      <c r="K647" s="287" t="s">
        <v>2150</v>
      </c>
      <c r="L647" s="274" t="s">
        <v>155</v>
      </c>
      <c r="M647" s="270"/>
      <c r="N647" s="270"/>
      <c r="O647" s="270"/>
    </row>
    <row r="648" spans="1:15" hidden="1">
      <c r="A648" s="269">
        <v>45757</v>
      </c>
      <c r="B648" s="270" t="s">
        <v>1478</v>
      </c>
      <c r="C648" s="270" t="s">
        <v>175</v>
      </c>
      <c r="D648" s="271" t="s">
        <v>117</v>
      </c>
      <c r="E648" s="272">
        <v>7000</v>
      </c>
      <c r="F648" s="272">
        <v>12.00873549730747</v>
      </c>
      <c r="G648" s="273">
        <v>582.90899999999999</v>
      </c>
      <c r="H648" s="274" t="s">
        <v>190</v>
      </c>
      <c r="I648" s="274" t="s">
        <v>1479</v>
      </c>
      <c r="J648" s="274" t="s">
        <v>98</v>
      </c>
      <c r="K648" s="287" t="s">
        <v>2150</v>
      </c>
      <c r="L648" s="274" t="s">
        <v>155</v>
      </c>
      <c r="M648" s="270"/>
      <c r="N648" s="270"/>
      <c r="O648" s="270"/>
    </row>
    <row r="649" spans="1:15" hidden="1">
      <c r="A649" s="269">
        <v>45757</v>
      </c>
      <c r="B649" s="270" t="s">
        <v>1527</v>
      </c>
      <c r="C649" s="270" t="s">
        <v>175</v>
      </c>
      <c r="D649" s="271" t="s">
        <v>117</v>
      </c>
      <c r="E649" s="272">
        <v>4000</v>
      </c>
      <c r="F649" s="272">
        <v>6.8621345698899825</v>
      </c>
      <c r="G649" s="273">
        <v>582.90899999999999</v>
      </c>
      <c r="H649" s="274" t="s">
        <v>196</v>
      </c>
      <c r="I649" s="274" t="s">
        <v>1528</v>
      </c>
      <c r="J649" s="274" t="s">
        <v>98</v>
      </c>
      <c r="K649" s="287" t="s">
        <v>2150</v>
      </c>
      <c r="L649" s="274" t="s">
        <v>155</v>
      </c>
      <c r="M649" s="270"/>
      <c r="N649" s="270"/>
      <c r="O649" s="270"/>
    </row>
    <row r="650" spans="1:15" hidden="1">
      <c r="A650" s="269">
        <v>45757</v>
      </c>
      <c r="B650" s="270" t="s">
        <v>1672</v>
      </c>
      <c r="C650" s="276" t="s">
        <v>179</v>
      </c>
      <c r="D650" s="271" t="s">
        <v>117</v>
      </c>
      <c r="E650" s="272">
        <v>80000</v>
      </c>
      <c r="F650" s="272">
        <v>137.24269139779966</v>
      </c>
      <c r="G650" s="273">
        <v>582.90899999999999</v>
      </c>
      <c r="H650" s="274" t="s">
        <v>196</v>
      </c>
      <c r="I650" s="274" t="s">
        <v>1529</v>
      </c>
      <c r="J650" s="274" t="s">
        <v>98</v>
      </c>
      <c r="K650" s="287" t="s">
        <v>2150</v>
      </c>
      <c r="L650" s="274" t="s">
        <v>155</v>
      </c>
      <c r="M650" s="270"/>
      <c r="N650" s="270"/>
      <c r="O650" s="270"/>
    </row>
    <row r="651" spans="1:15" hidden="1">
      <c r="A651" s="269">
        <v>45757</v>
      </c>
      <c r="B651" s="270" t="s">
        <v>1566</v>
      </c>
      <c r="C651" s="270" t="s">
        <v>199</v>
      </c>
      <c r="D651" s="271" t="s">
        <v>117</v>
      </c>
      <c r="E651" s="272">
        <v>7000</v>
      </c>
      <c r="F651" s="272">
        <v>12.00873549730747</v>
      </c>
      <c r="G651" s="273">
        <v>582.90899999999999</v>
      </c>
      <c r="H651" s="274" t="s">
        <v>497</v>
      </c>
      <c r="I651" s="274" t="s">
        <v>1567</v>
      </c>
      <c r="J651" s="274" t="s">
        <v>98</v>
      </c>
      <c r="K651" s="287" t="s">
        <v>2150</v>
      </c>
      <c r="L651" s="274" t="s">
        <v>155</v>
      </c>
      <c r="M651" s="270"/>
      <c r="N651" s="270"/>
      <c r="O651" s="270"/>
    </row>
    <row r="652" spans="1:15" hidden="1">
      <c r="A652" s="269">
        <v>45757</v>
      </c>
      <c r="B652" s="270" t="s">
        <v>1584</v>
      </c>
      <c r="C652" s="270" t="s">
        <v>175</v>
      </c>
      <c r="D652" s="270" t="s">
        <v>120</v>
      </c>
      <c r="E652" s="272">
        <v>7000</v>
      </c>
      <c r="F652" s="272">
        <v>12.00873549730747</v>
      </c>
      <c r="G652" s="273">
        <v>582.90899999999999</v>
      </c>
      <c r="H652" s="274" t="s">
        <v>217</v>
      </c>
      <c r="I652" s="274" t="s">
        <v>1585</v>
      </c>
      <c r="J652" s="274" t="s">
        <v>98</v>
      </c>
      <c r="K652" s="287" t="s">
        <v>2150</v>
      </c>
      <c r="L652" s="274" t="s">
        <v>155</v>
      </c>
      <c r="M652" s="270"/>
      <c r="N652" s="270"/>
      <c r="O652" s="270"/>
    </row>
    <row r="653" spans="1:15" hidden="1">
      <c r="A653" s="269">
        <v>45757</v>
      </c>
      <c r="B653" s="270" t="s">
        <v>882</v>
      </c>
      <c r="C653" s="277" t="s">
        <v>2342</v>
      </c>
      <c r="D653" s="270" t="s">
        <v>118</v>
      </c>
      <c r="E653" s="272">
        <v>5130</v>
      </c>
      <c r="F653" s="272">
        <v>8.8006875858839031</v>
      </c>
      <c r="G653" s="273">
        <v>582.90899999999999</v>
      </c>
      <c r="H653" s="274" t="s">
        <v>217</v>
      </c>
      <c r="I653" s="274" t="s">
        <v>1594</v>
      </c>
      <c r="J653" s="274" t="s">
        <v>98</v>
      </c>
      <c r="K653" s="287" t="s">
        <v>2150</v>
      </c>
      <c r="L653" s="274" t="s">
        <v>155</v>
      </c>
      <c r="M653" s="270"/>
      <c r="N653" s="270"/>
      <c r="O653" s="270"/>
    </row>
    <row r="654" spans="1:15" hidden="1">
      <c r="A654" s="269">
        <v>45758</v>
      </c>
      <c r="B654" s="270" t="s">
        <v>1332</v>
      </c>
      <c r="C654" s="276" t="s">
        <v>179</v>
      </c>
      <c r="D654" s="271" t="s">
        <v>117</v>
      </c>
      <c r="E654" s="272">
        <v>70000</v>
      </c>
      <c r="F654" s="272">
        <v>120.0873549730747</v>
      </c>
      <c r="G654" s="273">
        <v>582.90899999999999</v>
      </c>
      <c r="H654" s="274" t="s">
        <v>203</v>
      </c>
      <c r="I654" s="274" t="s">
        <v>1333</v>
      </c>
      <c r="J654" s="274" t="s">
        <v>98</v>
      </c>
      <c r="K654" s="287" t="s">
        <v>2150</v>
      </c>
      <c r="L654" s="274" t="s">
        <v>155</v>
      </c>
      <c r="M654" s="270"/>
      <c r="N654" s="270"/>
      <c r="O654" s="270"/>
    </row>
    <row r="655" spans="1:15" hidden="1">
      <c r="A655" s="269">
        <v>45758</v>
      </c>
      <c r="B655" s="270" t="s">
        <v>658</v>
      </c>
      <c r="C655" s="270" t="s">
        <v>152</v>
      </c>
      <c r="D655" s="271" t="s">
        <v>502</v>
      </c>
      <c r="E655" s="272">
        <v>15000</v>
      </c>
      <c r="F655" s="272">
        <v>25.733004637087436</v>
      </c>
      <c r="G655" s="273">
        <v>582.90899999999999</v>
      </c>
      <c r="H655" s="274" t="s">
        <v>643</v>
      </c>
      <c r="I655" s="274" t="s">
        <v>1385</v>
      </c>
      <c r="J655" s="274" t="s">
        <v>98</v>
      </c>
      <c r="K655" s="287" t="s">
        <v>2150</v>
      </c>
      <c r="L655" s="274" t="s">
        <v>155</v>
      </c>
      <c r="M655" s="270"/>
      <c r="N655" s="270"/>
      <c r="O655" s="270"/>
    </row>
    <row r="656" spans="1:15" hidden="1">
      <c r="A656" s="269">
        <v>45758</v>
      </c>
      <c r="B656" s="270" t="s">
        <v>1419</v>
      </c>
      <c r="C656" s="276" t="s">
        <v>179</v>
      </c>
      <c r="D656" s="271" t="s">
        <v>502</v>
      </c>
      <c r="E656" s="272">
        <v>45000</v>
      </c>
      <c r="F656" s="272">
        <v>77.199013911262313</v>
      </c>
      <c r="G656" s="273">
        <v>582.90899999999999</v>
      </c>
      <c r="H656" s="274" t="s">
        <v>176</v>
      </c>
      <c r="I656" s="274" t="s">
        <v>1420</v>
      </c>
      <c r="J656" s="274" t="s">
        <v>98</v>
      </c>
      <c r="K656" s="287" t="s">
        <v>2150</v>
      </c>
      <c r="L656" s="274" t="s">
        <v>155</v>
      </c>
      <c r="M656" s="270"/>
      <c r="N656" s="270"/>
      <c r="O656" s="270"/>
    </row>
    <row r="657" spans="1:15" hidden="1">
      <c r="A657" s="269">
        <v>45758</v>
      </c>
      <c r="B657" s="270" t="s">
        <v>1421</v>
      </c>
      <c r="C657" s="270" t="s">
        <v>175</v>
      </c>
      <c r="D657" s="271" t="s">
        <v>502</v>
      </c>
      <c r="E657" s="272">
        <v>8000</v>
      </c>
      <c r="F657" s="272">
        <v>13.724269139779965</v>
      </c>
      <c r="G657" s="273">
        <v>582.90899999999999</v>
      </c>
      <c r="H657" s="274" t="s">
        <v>176</v>
      </c>
      <c r="I657" s="274" t="s">
        <v>1422</v>
      </c>
      <c r="J657" s="274" t="s">
        <v>98</v>
      </c>
      <c r="K657" s="287" t="s">
        <v>2150</v>
      </c>
      <c r="L657" s="274" t="s">
        <v>155</v>
      </c>
      <c r="M657" s="270"/>
      <c r="N657" s="270"/>
      <c r="O657" s="270"/>
    </row>
    <row r="658" spans="1:15" hidden="1">
      <c r="A658" s="269">
        <v>45758</v>
      </c>
      <c r="B658" s="270" t="s">
        <v>1451</v>
      </c>
      <c r="C658" s="276" t="s">
        <v>179</v>
      </c>
      <c r="D658" s="271" t="s">
        <v>502</v>
      </c>
      <c r="E658" s="272">
        <v>45000</v>
      </c>
      <c r="F658" s="272">
        <v>77.199013911262313</v>
      </c>
      <c r="G658" s="273">
        <v>582.90899999999999</v>
      </c>
      <c r="H658" s="274" t="s">
        <v>343</v>
      </c>
      <c r="I658" s="274" t="s">
        <v>1452</v>
      </c>
      <c r="J658" s="274" t="s">
        <v>98</v>
      </c>
      <c r="K658" s="287" t="s">
        <v>2150</v>
      </c>
      <c r="L658" s="274" t="s">
        <v>155</v>
      </c>
      <c r="M658" s="270"/>
      <c r="N658" s="270"/>
      <c r="O658" s="270"/>
    </row>
    <row r="659" spans="1:15" hidden="1">
      <c r="A659" s="269">
        <v>45758</v>
      </c>
      <c r="B659" s="270" t="s">
        <v>1453</v>
      </c>
      <c r="C659" s="270" t="s">
        <v>175</v>
      </c>
      <c r="D659" s="271" t="s">
        <v>502</v>
      </c>
      <c r="E659" s="272">
        <v>5000</v>
      </c>
      <c r="F659" s="272">
        <v>8.5776682123624788</v>
      </c>
      <c r="G659" s="273">
        <v>582.90899999999999</v>
      </c>
      <c r="H659" s="274" t="s">
        <v>343</v>
      </c>
      <c r="I659" s="274" t="s">
        <v>1454</v>
      </c>
      <c r="J659" s="274" t="s">
        <v>98</v>
      </c>
      <c r="K659" s="287" t="s">
        <v>2150</v>
      </c>
      <c r="L659" s="274" t="s">
        <v>155</v>
      </c>
      <c r="M659" s="270"/>
      <c r="N659" s="270"/>
      <c r="O659" s="270"/>
    </row>
    <row r="660" spans="1:15" hidden="1">
      <c r="A660" s="269">
        <v>45758</v>
      </c>
      <c r="B660" s="270" t="s">
        <v>1665</v>
      </c>
      <c r="C660" s="276" t="s">
        <v>179</v>
      </c>
      <c r="D660" s="271" t="s">
        <v>117</v>
      </c>
      <c r="E660" s="272">
        <v>30000</v>
      </c>
      <c r="F660" s="272">
        <v>51.466009274174873</v>
      </c>
      <c r="G660" s="273">
        <v>582.90899999999999</v>
      </c>
      <c r="H660" s="274" t="s">
        <v>190</v>
      </c>
      <c r="I660" s="274" t="s">
        <v>1480</v>
      </c>
      <c r="J660" s="274" t="s">
        <v>98</v>
      </c>
      <c r="K660" s="287" t="s">
        <v>2150</v>
      </c>
      <c r="L660" s="274" t="s">
        <v>155</v>
      </c>
      <c r="M660" s="270"/>
      <c r="N660" s="270"/>
      <c r="O660" s="270"/>
    </row>
    <row r="661" spans="1:15" hidden="1">
      <c r="A661" s="269">
        <v>45758</v>
      </c>
      <c r="B661" s="270" t="s">
        <v>1500</v>
      </c>
      <c r="C661" s="277" t="s">
        <v>2342</v>
      </c>
      <c r="D661" s="270" t="s">
        <v>118</v>
      </c>
      <c r="E661" s="272">
        <v>14710</v>
      </c>
      <c r="F661" s="272">
        <v>25.235499880770412</v>
      </c>
      <c r="G661" s="273">
        <v>582.90899999999999</v>
      </c>
      <c r="H661" s="274" t="s">
        <v>193</v>
      </c>
      <c r="I661" s="274" t="s">
        <v>1501</v>
      </c>
      <c r="J661" s="274" t="s">
        <v>98</v>
      </c>
      <c r="K661" s="287" t="s">
        <v>2150</v>
      </c>
      <c r="L661" s="274" t="s">
        <v>155</v>
      </c>
      <c r="M661" s="270"/>
      <c r="N661" s="270"/>
      <c r="O661" s="270"/>
    </row>
    <row r="662" spans="1:15" hidden="1">
      <c r="A662" s="269">
        <v>45758</v>
      </c>
      <c r="B662" s="270" t="s">
        <v>1530</v>
      </c>
      <c r="C662" s="270" t="s">
        <v>327</v>
      </c>
      <c r="D662" s="271" t="s">
        <v>117</v>
      </c>
      <c r="E662" s="272">
        <v>6000</v>
      </c>
      <c r="F662" s="272">
        <v>10.293201854834974</v>
      </c>
      <c r="G662" s="273">
        <v>582.90899999999999</v>
      </c>
      <c r="H662" s="274" t="s">
        <v>196</v>
      </c>
      <c r="I662" s="274" t="s">
        <v>1531</v>
      </c>
      <c r="J662" s="274" t="s">
        <v>98</v>
      </c>
      <c r="K662" s="287" t="s">
        <v>2150</v>
      </c>
      <c r="L662" s="274" t="s">
        <v>155</v>
      </c>
      <c r="M662" s="270"/>
      <c r="N662" s="270"/>
      <c r="O662" s="270"/>
    </row>
    <row r="663" spans="1:15" hidden="1">
      <c r="A663" s="269">
        <v>45758</v>
      </c>
      <c r="B663" s="270" t="s">
        <v>1568</v>
      </c>
      <c r="C663" s="276" t="s">
        <v>179</v>
      </c>
      <c r="D663" s="271" t="s">
        <v>117</v>
      </c>
      <c r="E663" s="272">
        <v>30000</v>
      </c>
      <c r="F663" s="272">
        <v>51.466009274174873</v>
      </c>
      <c r="G663" s="273">
        <v>582.90899999999999</v>
      </c>
      <c r="H663" s="274" t="s">
        <v>497</v>
      </c>
      <c r="I663" s="274" t="s">
        <v>1569</v>
      </c>
      <c r="J663" s="274" t="s">
        <v>98</v>
      </c>
      <c r="K663" s="287" t="s">
        <v>2150</v>
      </c>
      <c r="L663" s="274" t="s">
        <v>155</v>
      </c>
      <c r="M663" s="270"/>
      <c r="N663" s="270"/>
      <c r="O663" s="270"/>
    </row>
    <row r="664" spans="1:15" hidden="1">
      <c r="A664" s="269">
        <v>45758</v>
      </c>
      <c r="B664" s="270" t="s">
        <v>1667</v>
      </c>
      <c r="C664" s="276" t="s">
        <v>179</v>
      </c>
      <c r="D664" s="270" t="s">
        <v>120</v>
      </c>
      <c r="E664" s="272">
        <v>70000</v>
      </c>
      <c r="F664" s="272">
        <v>120.0873549730747</v>
      </c>
      <c r="G664" s="273">
        <v>582.90899999999999</v>
      </c>
      <c r="H664" s="274" t="s">
        <v>217</v>
      </c>
      <c r="I664" s="274" t="s">
        <v>1586</v>
      </c>
      <c r="J664" s="274" t="s">
        <v>98</v>
      </c>
      <c r="K664" s="287" t="s">
        <v>2150</v>
      </c>
      <c r="L664" s="274" t="s">
        <v>155</v>
      </c>
      <c r="M664" s="270"/>
      <c r="N664" s="270"/>
      <c r="O664" s="270"/>
    </row>
    <row r="665" spans="1:15" hidden="1">
      <c r="A665" s="269">
        <v>45759</v>
      </c>
      <c r="B665" s="270" t="s">
        <v>1675</v>
      </c>
      <c r="C665" s="276" t="s">
        <v>179</v>
      </c>
      <c r="D665" s="271" t="s">
        <v>117</v>
      </c>
      <c r="E665" s="272">
        <v>30000</v>
      </c>
      <c r="F665" s="272">
        <v>51.466009274174873</v>
      </c>
      <c r="G665" s="273">
        <v>582.90899999999999</v>
      </c>
      <c r="H665" s="274" t="s">
        <v>196</v>
      </c>
      <c r="I665" s="274" t="s">
        <v>1532</v>
      </c>
      <c r="J665" s="274" t="s">
        <v>98</v>
      </c>
      <c r="K665" s="287" t="s">
        <v>2150</v>
      </c>
      <c r="L665" s="274" t="s">
        <v>155</v>
      </c>
      <c r="M665" s="270"/>
      <c r="N665" s="270"/>
      <c r="O665" s="270"/>
    </row>
    <row r="666" spans="1:15" hidden="1">
      <c r="A666" s="269">
        <v>45759</v>
      </c>
      <c r="B666" s="270" t="s">
        <v>1533</v>
      </c>
      <c r="C666" s="270" t="s">
        <v>175</v>
      </c>
      <c r="D666" s="271" t="s">
        <v>117</v>
      </c>
      <c r="E666" s="272">
        <v>5000</v>
      </c>
      <c r="F666" s="272">
        <v>8.5776682123624788</v>
      </c>
      <c r="G666" s="273">
        <v>582.90899999999999</v>
      </c>
      <c r="H666" s="274" t="s">
        <v>196</v>
      </c>
      <c r="I666" s="274" t="s">
        <v>1534</v>
      </c>
      <c r="J666" s="274" t="s">
        <v>98</v>
      </c>
      <c r="K666" s="287" t="s">
        <v>2150</v>
      </c>
      <c r="L666" s="274" t="s">
        <v>155</v>
      </c>
      <c r="M666" s="270"/>
      <c r="N666" s="270"/>
      <c r="O666" s="270"/>
    </row>
    <row r="667" spans="1:15" hidden="1">
      <c r="A667" s="269">
        <v>45759</v>
      </c>
      <c r="B667" s="270" t="s">
        <v>1535</v>
      </c>
      <c r="C667" s="270" t="s">
        <v>175</v>
      </c>
      <c r="D667" s="271" t="s">
        <v>117</v>
      </c>
      <c r="E667" s="272">
        <v>2000</v>
      </c>
      <c r="F667" s="272">
        <v>3.4310672849449912</v>
      </c>
      <c r="G667" s="273">
        <v>582.90899999999999</v>
      </c>
      <c r="H667" s="274" t="s">
        <v>196</v>
      </c>
      <c r="I667" s="274" t="s">
        <v>1536</v>
      </c>
      <c r="J667" s="274" t="s">
        <v>98</v>
      </c>
      <c r="K667" s="287" t="s">
        <v>2150</v>
      </c>
      <c r="L667" s="274" t="s">
        <v>155</v>
      </c>
      <c r="M667" s="270"/>
      <c r="N667" s="270"/>
      <c r="O667" s="270"/>
    </row>
    <row r="668" spans="1:15" hidden="1">
      <c r="A668" s="269">
        <v>45760</v>
      </c>
      <c r="B668" s="270" t="s">
        <v>1334</v>
      </c>
      <c r="C668" s="276" t="s">
        <v>179</v>
      </c>
      <c r="D668" s="271" t="s">
        <v>117</v>
      </c>
      <c r="E668" s="272">
        <v>30000</v>
      </c>
      <c r="F668" s="272">
        <v>51.466009274174873</v>
      </c>
      <c r="G668" s="273">
        <v>582.90899999999999</v>
      </c>
      <c r="H668" s="274" t="s">
        <v>203</v>
      </c>
      <c r="I668" s="274" t="s">
        <v>1335</v>
      </c>
      <c r="J668" s="274" t="s">
        <v>98</v>
      </c>
      <c r="K668" s="287" t="s">
        <v>2150</v>
      </c>
      <c r="L668" s="274" t="s">
        <v>155</v>
      </c>
      <c r="M668" s="270"/>
      <c r="N668" s="270"/>
      <c r="O668" s="270"/>
    </row>
    <row r="669" spans="1:15" hidden="1">
      <c r="A669" s="269">
        <v>45760</v>
      </c>
      <c r="B669" s="270" t="s">
        <v>1652</v>
      </c>
      <c r="C669" s="276" t="s">
        <v>179</v>
      </c>
      <c r="D669" s="271" t="s">
        <v>502</v>
      </c>
      <c r="E669" s="272">
        <v>135000</v>
      </c>
      <c r="F669" s="272">
        <v>231.59704173378694</v>
      </c>
      <c r="G669" s="273">
        <v>582.90899999999999</v>
      </c>
      <c r="H669" s="274" t="s">
        <v>187</v>
      </c>
      <c r="I669" s="274" t="s">
        <v>1653</v>
      </c>
      <c r="J669" s="274" t="s">
        <v>98</v>
      </c>
      <c r="K669" s="287" t="s">
        <v>2150</v>
      </c>
      <c r="L669" s="274" t="s">
        <v>155</v>
      </c>
      <c r="M669" s="270"/>
      <c r="N669" s="270"/>
      <c r="O669" s="270"/>
    </row>
    <row r="670" spans="1:15" hidden="1">
      <c r="A670" s="269">
        <v>45760</v>
      </c>
      <c r="B670" s="270" t="s">
        <v>1423</v>
      </c>
      <c r="C670" s="276" t="s">
        <v>179</v>
      </c>
      <c r="D670" s="271" t="s">
        <v>502</v>
      </c>
      <c r="E670" s="272">
        <v>30000</v>
      </c>
      <c r="F670" s="272">
        <v>51.466009274174873</v>
      </c>
      <c r="G670" s="273">
        <v>582.90899999999999</v>
      </c>
      <c r="H670" s="274" t="s">
        <v>176</v>
      </c>
      <c r="I670" s="274" t="s">
        <v>1424</v>
      </c>
      <c r="J670" s="274" t="s">
        <v>98</v>
      </c>
      <c r="K670" s="287" t="s">
        <v>2150</v>
      </c>
      <c r="L670" s="274" t="s">
        <v>155</v>
      </c>
      <c r="M670" s="270"/>
      <c r="N670" s="270"/>
      <c r="O670" s="270"/>
    </row>
    <row r="671" spans="1:15" hidden="1">
      <c r="A671" s="269">
        <v>45760</v>
      </c>
      <c r="B671" s="270" t="s">
        <v>1425</v>
      </c>
      <c r="C671" s="270" t="s">
        <v>175</v>
      </c>
      <c r="D671" s="271" t="s">
        <v>502</v>
      </c>
      <c r="E671" s="272">
        <v>5000</v>
      </c>
      <c r="F671" s="272">
        <v>8.5776682123624788</v>
      </c>
      <c r="G671" s="273">
        <v>582.90899999999999</v>
      </c>
      <c r="H671" s="274" t="s">
        <v>176</v>
      </c>
      <c r="I671" s="274" t="s">
        <v>1426</v>
      </c>
      <c r="J671" s="274" t="s">
        <v>98</v>
      </c>
      <c r="K671" s="287" t="s">
        <v>2150</v>
      </c>
      <c r="L671" s="274" t="s">
        <v>155</v>
      </c>
      <c r="M671" s="270"/>
      <c r="N671" s="270"/>
      <c r="O671" s="270"/>
    </row>
    <row r="672" spans="1:15" hidden="1">
      <c r="A672" s="269">
        <v>45760</v>
      </c>
      <c r="B672" s="270" t="s">
        <v>1455</v>
      </c>
      <c r="C672" s="276" t="s">
        <v>179</v>
      </c>
      <c r="D672" s="271" t="s">
        <v>502</v>
      </c>
      <c r="E672" s="272">
        <v>30000</v>
      </c>
      <c r="F672" s="272">
        <v>51.466009274174873</v>
      </c>
      <c r="G672" s="273">
        <v>582.90899999999999</v>
      </c>
      <c r="H672" s="274" t="s">
        <v>343</v>
      </c>
      <c r="I672" s="274" t="s">
        <v>1456</v>
      </c>
      <c r="J672" s="274" t="s">
        <v>98</v>
      </c>
      <c r="K672" s="287" t="s">
        <v>2150</v>
      </c>
      <c r="L672" s="274" t="s">
        <v>155</v>
      </c>
      <c r="M672" s="270"/>
      <c r="N672" s="270"/>
      <c r="O672" s="270"/>
    </row>
    <row r="673" spans="1:15" hidden="1">
      <c r="A673" s="269">
        <v>45760</v>
      </c>
      <c r="B673" s="270" t="s">
        <v>1457</v>
      </c>
      <c r="C673" s="270" t="s">
        <v>175</v>
      </c>
      <c r="D673" s="271" t="s">
        <v>502</v>
      </c>
      <c r="E673" s="272">
        <v>8000</v>
      </c>
      <c r="F673" s="272">
        <v>13.724269139779965</v>
      </c>
      <c r="G673" s="273">
        <v>582.90899999999999</v>
      </c>
      <c r="H673" s="274" t="s">
        <v>343</v>
      </c>
      <c r="I673" s="274" t="s">
        <v>1458</v>
      </c>
      <c r="J673" s="274" t="s">
        <v>98</v>
      </c>
      <c r="K673" s="287" t="s">
        <v>2150</v>
      </c>
      <c r="L673" s="274" t="s">
        <v>155</v>
      </c>
      <c r="M673" s="270"/>
      <c r="N673" s="270"/>
      <c r="O673" s="270"/>
    </row>
    <row r="674" spans="1:15" hidden="1">
      <c r="A674" s="269">
        <v>45761</v>
      </c>
      <c r="B674" s="270" t="s">
        <v>1459</v>
      </c>
      <c r="C674" s="276" t="s">
        <v>179</v>
      </c>
      <c r="D674" s="271" t="s">
        <v>502</v>
      </c>
      <c r="E674" s="272">
        <v>15000</v>
      </c>
      <c r="F674" s="272">
        <v>25.733004637087436</v>
      </c>
      <c r="G674" s="273">
        <v>582.90899999999999</v>
      </c>
      <c r="H674" s="274" t="s">
        <v>343</v>
      </c>
      <c r="I674" s="274" t="s">
        <v>1460</v>
      </c>
      <c r="J674" s="274" t="s">
        <v>98</v>
      </c>
      <c r="K674" s="287" t="s">
        <v>2150</v>
      </c>
      <c r="L674" s="274" t="s">
        <v>155</v>
      </c>
      <c r="M674" s="270"/>
      <c r="N674" s="270"/>
      <c r="O674" s="270"/>
    </row>
    <row r="675" spans="1:15" hidden="1">
      <c r="A675" s="269">
        <v>45761</v>
      </c>
      <c r="B675" s="270" t="s">
        <v>1461</v>
      </c>
      <c r="C675" s="270" t="s">
        <v>175</v>
      </c>
      <c r="D675" s="271" t="s">
        <v>502</v>
      </c>
      <c r="E675" s="272">
        <v>3000</v>
      </c>
      <c r="F675" s="272">
        <v>5.1466009274174871</v>
      </c>
      <c r="G675" s="273">
        <v>582.90899999999999</v>
      </c>
      <c r="H675" s="274" t="s">
        <v>343</v>
      </c>
      <c r="I675" s="274" t="s">
        <v>1462</v>
      </c>
      <c r="J675" s="274" t="s">
        <v>98</v>
      </c>
      <c r="K675" s="287" t="s">
        <v>2150</v>
      </c>
      <c r="L675" s="274" t="s">
        <v>155</v>
      </c>
      <c r="M675" s="270"/>
      <c r="N675" s="270"/>
      <c r="O675" s="270"/>
    </row>
    <row r="676" spans="1:15" hidden="1">
      <c r="A676" s="269">
        <v>45761</v>
      </c>
      <c r="B676" s="270" t="s">
        <v>1463</v>
      </c>
      <c r="C676" s="270" t="s">
        <v>175</v>
      </c>
      <c r="D676" s="271" t="s">
        <v>502</v>
      </c>
      <c r="E676" s="272">
        <v>10000</v>
      </c>
      <c r="F676" s="272">
        <v>17.155336424724958</v>
      </c>
      <c r="G676" s="273">
        <v>582.90899999999999</v>
      </c>
      <c r="H676" s="274" t="s">
        <v>343</v>
      </c>
      <c r="I676" s="274" t="s">
        <v>1464</v>
      </c>
      <c r="J676" s="274" t="s">
        <v>98</v>
      </c>
      <c r="K676" s="287" t="s">
        <v>2150</v>
      </c>
      <c r="L676" s="274" t="s">
        <v>155</v>
      </c>
      <c r="M676" s="270"/>
      <c r="N676" s="270"/>
      <c r="O676" s="270"/>
    </row>
    <row r="677" spans="1:15" hidden="1">
      <c r="A677" s="269">
        <v>45761</v>
      </c>
      <c r="B677" s="270" t="s">
        <v>1486</v>
      </c>
      <c r="C677" s="270" t="s">
        <v>175</v>
      </c>
      <c r="D677" s="271" t="s">
        <v>117</v>
      </c>
      <c r="E677" s="272">
        <v>7000</v>
      </c>
      <c r="F677" s="272">
        <v>12.00873549730747</v>
      </c>
      <c r="G677" s="273">
        <v>582.90899999999999</v>
      </c>
      <c r="H677" s="274" t="s">
        <v>193</v>
      </c>
      <c r="I677" s="274" t="s">
        <v>1487</v>
      </c>
      <c r="J677" s="274" t="s">
        <v>98</v>
      </c>
      <c r="K677" s="287" t="s">
        <v>2150</v>
      </c>
      <c r="L677" s="274" t="s">
        <v>155</v>
      </c>
      <c r="M677" s="270"/>
      <c r="N677" s="270"/>
      <c r="O677" s="270"/>
    </row>
    <row r="678" spans="1:15" hidden="1">
      <c r="A678" s="269">
        <v>45761</v>
      </c>
      <c r="B678" s="270" t="s">
        <v>1502</v>
      </c>
      <c r="C678" s="277" t="s">
        <v>2342</v>
      </c>
      <c r="D678" s="270" t="s">
        <v>118</v>
      </c>
      <c r="E678" s="272">
        <v>14390</v>
      </c>
      <c r="F678" s="272">
        <v>24.686529115179212</v>
      </c>
      <c r="G678" s="273">
        <v>582.90899999999999</v>
      </c>
      <c r="H678" s="274" t="s">
        <v>193</v>
      </c>
      <c r="I678" s="274" t="s">
        <v>1503</v>
      </c>
      <c r="J678" s="274" t="s">
        <v>98</v>
      </c>
      <c r="K678" s="287" t="s">
        <v>2150</v>
      </c>
      <c r="L678" s="274" t="s">
        <v>155</v>
      </c>
      <c r="M678" s="270"/>
      <c r="N678" s="270"/>
      <c r="O678" s="270"/>
    </row>
    <row r="679" spans="1:15" hidden="1">
      <c r="A679" s="269">
        <v>45761</v>
      </c>
      <c r="B679" s="270" t="s">
        <v>1504</v>
      </c>
      <c r="C679" s="270" t="s">
        <v>175</v>
      </c>
      <c r="D679" s="271" t="s">
        <v>117</v>
      </c>
      <c r="E679" s="272">
        <v>20000</v>
      </c>
      <c r="F679" s="272">
        <v>34.310672849449915</v>
      </c>
      <c r="G679" s="273">
        <v>582.90899999999999</v>
      </c>
      <c r="H679" s="274" t="s">
        <v>193</v>
      </c>
      <c r="I679" s="274" t="s">
        <v>1505</v>
      </c>
      <c r="J679" s="274" t="s">
        <v>98</v>
      </c>
      <c r="K679" s="287" t="s">
        <v>2150</v>
      </c>
      <c r="L679" s="274" t="s">
        <v>155</v>
      </c>
      <c r="M679" s="270"/>
      <c r="N679" s="270"/>
      <c r="O679" s="270"/>
    </row>
    <row r="680" spans="1:15" hidden="1">
      <c r="A680" s="269">
        <v>45761</v>
      </c>
      <c r="B680" s="270" t="s">
        <v>1506</v>
      </c>
      <c r="C680" s="276" t="s">
        <v>179</v>
      </c>
      <c r="D680" s="271" t="s">
        <v>117</v>
      </c>
      <c r="E680" s="272">
        <v>50000</v>
      </c>
      <c r="F680" s="272">
        <v>85.776682123624781</v>
      </c>
      <c r="G680" s="273">
        <v>582.90899999999999</v>
      </c>
      <c r="H680" s="274" t="s">
        <v>193</v>
      </c>
      <c r="I680" s="274" t="s">
        <v>1507</v>
      </c>
      <c r="J680" s="274" t="s">
        <v>98</v>
      </c>
      <c r="K680" s="287" t="s">
        <v>2150</v>
      </c>
      <c r="L680" s="274" t="s">
        <v>155</v>
      </c>
      <c r="M680" s="270"/>
      <c r="N680" s="270"/>
      <c r="O680" s="270"/>
    </row>
    <row r="681" spans="1:15" hidden="1">
      <c r="A681" s="269">
        <v>45761</v>
      </c>
      <c r="B681" s="270" t="s">
        <v>1508</v>
      </c>
      <c r="C681" s="270" t="s">
        <v>175</v>
      </c>
      <c r="D681" s="271" t="s">
        <v>117</v>
      </c>
      <c r="E681" s="272">
        <v>20000</v>
      </c>
      <c r="F681" s="272">
        <v>34.310672849449915</v>
      </c>
      <c r="G681" s="273">
        <v>582.90899999999999</v>
      </c>
      <c r="H681" s="274" t="s">
        <v>193</v>
      </c>
      <c r="I681" s="274" t="s">
        <v>1509</v>
      </c>
      <c r="J681" s="274" t="s">
        <v>98</v>
      </c>
      <c r="K681" s="287" t="s">
        <v>2150</v>
      </c>
      <c r="L681" s="274" t="s">
        <v>155</v>
      </c>
      <c r="M681" s="270"/>
      <c r="N681" s="270"/>
      <c r="O681" s="270"/>
    </row>
    <row r="682" spans="1:15" hidden="1">
      <c r="A682" s="269">
        <v>45761</v>
      </c>
      <c r="B682" s="270" t="s">
        <v>1510</v>
      </c>
      <c r="C682" s="276" t="s">
        <v>179</v>
      </c>
      <c r="D682" s="271" t="s">
        <v>117</v>
      </c>
      <c r="E682" s="272">
        <v>50000</v>
      </c>
      <c r="F682" s="272">
        <v>85.776682123624781</v>
      </c>
      <c r="G682" s="273">
        <v>582.90899999999999</v>
      </c>
      <c r="H682" s="274" t="s">
        <v>193</v>
      </c>
      <c r="I682" s="274" t="s">
        <v>1511</v>
      </c>
      <c r="J682" s="274" t="s">
        <v>98</v>
      </c>
      <c r="K682" s="287" t="s">
        <v>2150</v>
      </c>
      <c r="L682" s="274" t="s">
        <v>155</v>
      </c>
      <c r="M682" s="270"/>
      <c r="N682" s="270"/>
      <c r="O682" s="270"/>
    </row>
    <row r="683" spans="1:15" hidden="1">
      <c r="A683" s="269">
        <v>45761</v>
      </c>
      <c r="B683" s="270" t="s">
        <v>1603</v>
      </c>
      <c r="C683" s="270" t="s">
        <v>127</v>
      </c>
      <c r="D683" s="271" t="s">
        <v>117</v>
      </c>
      <c r="E683" s="272">
        <v>368700</v>
      </c>
      <c r="F683" s="272">
        <v>632.51725397960922</v>
      </c>
      <c r="G683" s="273">
        <v>582.90899999999999</v>
      </c>
      <c r="H683" s="274" t="s">
        <v>148</v>
      </c>
      <c r="I683" s="274" t="s">
        <v>1622</v>
      </c>
      <c r="J683" s="274" t="s">
        <v>98</v>
      </c>
      <c r="K683" s="287" t="s">
        <v>2150</v>
      </c>
      <c r="L683" s="274" t="s">
        <v>155</v>
      </c>
      <c r="M683" s="270"/>
      <c r="N683" s="270"/>
      <c r="O683" s="270"/>
    </row>
    <row r="684" spans="1:15" hidden="1">
      <c r="A684" s="269">
        <v>45761</v>
      </c>
      <c r="B684" s="270" t="s">
        <v>1604</v>
      </c>
      <c r="C684" s="270" t="s">
        <v>127</v>
      </c>
      <c r="D684" s="271" t="s">
        <v>117</v>
      </c>
      <c r="E684" s="272">
        <v>107230</v>
      </c>
      <c r="F684" s="272">
        <v>183.95667248232573</v>
      </c>
      <c r="G684" s="273">
        <v>582.90899999999999</v>
      </c>
      <c r="H684" s="274" t="s">
        <v>148</v>
      </c>
      <c r="I684" s="274" t="s">
        <v>1623</v>
      </c>
      <c r="J684" s="274" t="s">
        <v>98</v>
      </c>
      <c r="K684" s="287" t="s">
        <v>2150</v>
      </c>
      <c r="L684" s="274" t="s">
        <v>155</v>
      </c>
      <c r="M684" s="270"/>
      <c r="N684" s="270"/>
      <c r="O684" s="270"/>
    </row>
    <row r="685" spans="1:15" hidden="1">
      <c r="A685" s="269">
        <v>45761</v>
      </c>
      <c r="B685" s="270" t="s">
        <v>1605</v>
      </c>
      <c r="C685" s="270" t="s">
        <v>127</v>
      </c>
      <c r="D685" s="271" t="s">
        <v>117</v>
      </c>
      <c r="E685" s="272">
        <v>103494</v>
      </c>
      <c r="F685" s="272">
        <v>177.54743879404847</v>
      </c>
      <c r="G685" s="273">
        <v>582.90899999999999</v>
      </c>
      <c r="H685" s="274" t="s">
        <v>148</v>
      </c>
      <c r="I685" s="274" t="s">
        <v>1624</v>
      </c>
      <c r="J685" s="274" t="s">
        <v>98</v>
      </c>
      <c r="K685" s="287" t="s">
        <v>2150</v>
      </c>
      <c r="L685" s="274" t="s">
        <v>155</v>
      </c>
      <c r="M685" s="270"/>
      <c r="N685" s="270"/>
      <c r="O685" s="270"/>
    </row>
    <row r="686" spans="1:15" hidden="1">
      <c r="A686" s="269">
        <v>45761</v>
      </c>
      <c r="B686" s="270" t="s">
        <v>1606</v>
      </c>
      <c r="C686" s="270" t="s">
        <v>127</v>
      </c>
      <c r="D686" s="271" t="s">
        <v>117</v>
      </c>
      <c r="E686" s="272">
        <v>103494</v>
      </c>
      <c r="F686" s="272">
        <v>177.54743879404847</v>
      </c>
      <c r="G686" s="273">
        <v>582.90899999999999</v>
      </c>
      <c r="H686" s="274" t="s">
        <v>148</v>
      </c>
      <c r="I686" s="274" t="s">
        <v>1625</v>
      </c>
      <c r="J686" s="274" t="s">
        <v>98</v>
      </c>
      <c r="K686" s="287" t="s">
        <v>2150</v>
      </c>
      <c r="L686" s="274" t="s">
        <v>155</v>
      </c>
      <c r="M686" s="270"/>
      <c r="N686" s="270"/>
      <c r="O686" s="270"/>
    </row>
    <row r="687" spans="1:15" hidden="1">
      <c r="A687" s="269">
        <v>45761</v>
      </c>
      <c r="B687" s="270" t="s">
        <v>1607</v>
      </c>
      <c r="C687" s="270" t="s">
        <v>127</v>
      </c>
      <c r="D687" s="271" t="s">
        <v>117</v>
      </c>
      <c r="E687" s="272">
        <v>103494</v>
      </c>
      <c r="F687" s="272">
        <v>177.54743879404847</v>
      </c>
      <c r="G687" s="273">
        <v>582.90899999999999</v>
      </c>
      <c r="H687" s="274" t="s">
        <v>148</v>
      </c>
      <c r="I687" s="274" t="s">
        <v>1626</v>
      </c>
      <c r="J687" s="274" t="s">
        <v>98</v>
      </c>
      <c r="K687" s="287" t="s">
        <v>2150</v>
      </c>
      <c r="L687" s="274" t="s">
        <v>155</v>
      </c>
      <c r="M687" s="270"/>
      <c r="N687" s="270"/>
      <c r="O687" s="270"/>
    </row>
    <row r="688" spans="1:15" hidden="1">
      <c r="A688" s="269">
        <v>45761</v>
      </c>
      <c r="B688" s="270" t="s">
        <v>1608</v>
      </c>
      <c r="C688" s="270" t="s">
        <v>127</v>
      </c>
      <c r="D688" s="270" t="s">
        <v>118</v>
      </c>
      <c r="E688" s="272">
        <v>65179</v>
      </c>
      <c r="F688" s="272">
        <v>111.81676728271479</v>
      </c>
      <c r="G688" s="273">
        <v>582.90899999999999</v>
      </c>
      <c r="H688" s="274" t="s">
        <v>148</v>
      </c>
      <c r="I688" s="274" t="s">
        <v>1627</v>
      </c>
      <c r="J688" s="274" t="s">
        <v>98</v>
      </c>
      <c r="K688" s="287" t="s">
        <v>2150</v>
      </c>
      <c r="L688" s="274" t="s">
        <v>155</v>
      </c>
      <c r="M688" s="270"/>
      <c r="N688" s="270"/>
      <c r="O688" s="270"/>
    </row>
    <row r="689" spans="1:15" hidden="1">
      <c r="A689" s="269">
        <v>45761</v>
      </c>
      <c r="B689" s="270" t="s">
        <v>1609</v>
      </c>
      <c r="C689" s="270" t="s">
        <v>127</v>
      </c>
      <c r="D689" s="270" t="s">
        <v>118</v>
      </c>
      <c r="E689" s="272">
        <v>256525</v>
      </c>
      <c r="F689" s="272">
        <v>440.07726763525699</v>
      </c>
      <c r="G689" s="273">
        <v>582.90899999999999</v>
      </c>
      <c r="H689" s="274" t="s">
        <v>148</v>
      </c>
      <c r="I689" s="274" t="s">
        <v>1628</v>
      </c>
      <c r="J689" s="274" t="s">
        <v>98</v>
      </c>
      <c r="K689" s="287" t="s">
        <v>2150</v>
      </c>
      <c r="L689" s="274" t="s">
        <v>155</v>
      </c>
      <c r="M689" s="270"/>
      <c r="N689" s="270"/>
      <c r="O689" s="270"/>
    </row>
    <row r="690" spans="1:15" hidden="1">
      <c r="A690" s="269">
        <v>45761</v>
      </c>
      <c r="B690" s="270" t="s">
        <v>1610</v>
      </c>
      <c r="C690" s="270" t="s">
        <v>127</v>
      </c>
      <c r="D690" s="270" t="s">
        <v>120</v>
      </c>
      <c r="E690" s="272">
        <v>127560</v>
      </c>
      <c r="F690" s="272">
        <v>218.83347143379154</v>
      </c>
      <c r="G690" s="273">
        <v>582.90899999999999</v>
      </c>
      <c r="H690" s="274" t="s">
        <v>148</v>
      </c>
      <c r="I690" s="274" t="s">
        <v>1629</v>
      </c>
      <c r="J690" s="274" t="s">
        <v>98</v>
      </c>
      <c r="K690" s="287" t="s">
        <v>2150</v>
      </c>
      <c r="L690" s="274" t="s">
        <v>155</v>
      </c>
      <c r="M690" s="270"/>
      <c r="N690" s="270"/>
      <c r="O690" s="270"/>
    </row>
    <row r="691" spans="1:15" hidden="1">
      <c r="A691" s="269">
        <v>45762</v>
      </c>
      <c r="B691" s="270" t="s">
        <v>1343</v>
      </c>
      <c r="C691" s="270" t="s">
        <v>317</v>
      </c>
      <c r="D691" s="270" t="s">
        <v>118</v>
      </c>
      <c r="E691" s="272">
        <v>11000</v>
      </c>
      <c r="F691" s="272">
        <v>18.870870067197455</v>
      </c>
      <c r="G691" s="273">
        <v>582.90899999999999</v>
      </c>
      <c r="H691" s="274" t="s">
        <v>153</v>
      </c>
      <c r="I691" s="274" t="s">
        <v>1344</v>
      </c>
      <c r="J691" s="274" t="s">
        <v>98</v>
      </c>
      <c r="K691" s="287" t="s">
        <v>2150</v>
      </c>
      <c r="L691" s="274" t="s">
        <v>155</v>
      </c>
      <c r="M691" s="270"/>
      <c r="N691" s="270"/>
      <c r="O691" s="270"/>
    </row>
    <row r="692" spans="1:15" hidden="1">
      <c r="A692" s="269">
        <v>45762</v>
      </c>
      <c r="B692" s="270" t="s">
        <v>1386</v>
      </c>
      <c r="C692" s="276" t="s">
        <v>126</v>
      </c>
      <c r="D692" s="270" t="s">
        <v>118</v>
      </c>
      <c r="E692" s="272">
        <v>25500</v>
      </c>
      <c r="F692" s="272">
        <v>43.746107883048644</v>
      </c>
      <c r="G692" s="273">
        <v>582.90899999999999</v>
      </c>
      <c r="H692" s="274" t="s">
        <v>643</v>
      </c>
      <c r="I692" s="274" t="s">
        <v>1387</v>
      </c>
      <c r="J692" s="274" t="s">
        <v>98</v>
      </c>
      <c r="K692" s="287" t="s">
        <v>2150</v>
      </c>
      <c r="L692" s="274" t="s">
        <v>155</v>
      </c>
      <c r="M692" s="270"/>
      <c r="N692" s="270"/>
      <c r="O692" s="270"/>
    </row>
    <row r="693" spans="1:15" hidden="1">
      <c r="A693" s="269">
        <v>45762</v>
      </c>
      <c r="B693" s="270" t="s">
        <v>882</v>
      </c>
      <c r="C693" s="277" t="s">
        <v>2342</v>
      </c>
      <c r="D693" s="270" t="s">
        <v>118</v>
      </c>
      <c r="E693" s="272">
        <v>5950</v>
      </c>
      <c r="F693" s="272">
        <v>10.20742517271135</v>
      </c>
      <c r="G693" s="273">
        <v>582.90899999999999</v>
      </c>
      <c r="H693" s="274" t="s">
        <v>643</v>
      </c>
      <c r="I693" s="274" t="s">
        <v>1388</v>
      </c>
      <c r="J693" s="274" t="s">
        <v>98</v>
      </c>
      <c r="K693" s="287" t="s">
        <v>2150</v>
      </c>
      <c r="L693" s="274" t="s">
        <v>155</v>
      </c>
      <c r="M693" s="270"/>
      <c r="N693" s="270"/>
      <c r="O693" s="270"/>
    </row>
    <row r="694" spans="1:15" hidden="1">
      <c r="A694" s="269">
        <v>45762</v>
      </c>
      <c r="B694" s="270" t="s">
        <v>1389</v>
      </c>
      <c r="C694" s="270" t="s">
        <v>152</v>
      </c>
      <c r="D694" s="270" t="s">
        <v>119</v>
      </c>
      <c r="E694" s="272">
        <v>20000</v>
      </c>
      <c r="F694" s="272">
        <v>34.310672849449915</v>
      </c>
      <c r="G694" s="273">
        <v>582.90899999999999</v>
      </c>
      <c r="H694" s="274" t="s">
        <v>643</v>
      </c>
      <c r="I694" s="274" t="s">
        <v>1390</v>
      </c>
      <c r="J694" s="274" t="s">
        <v>98</v>
      </c>
      <c r="K694" s="287" t="s">
        <v>2150</v>
      </c>
      <c r="L694" s="274" t="s">
        <v>155</v>
      </c>
      <c r="M694" s="270"/>
      <c r="N694" s="270"/>
      <c r="O694" s="270"/>
    </row>
    <row r="695" spans="1:15" hidden="1">
      <c r="A695" s="269">
        <v>45762</v>
      </c>
      <c r="B695" s="270" t="s">
        <v>1391</v>
      </c>
      <c r="C695" s="270" t="s">
        <v>152</v>
      </c>
      <c r="D695" s="271" t="s">
        <v>117</v>
      </c>
      <c r="E695" s="272">
        <v>40000</v>
      </c>
      <c r="F695" s="272">
        <v>68.62134569889983</v>
      </c>
      <c r="G695" s="273">
        <v>582.90899999999999</v>
      </c>
      <c r="H695" s="274" t="s">
        <v>643</v>
      </c>
      <c r="I695" s="274" t="s">
        <v>1392</v>
      </c>
      <c r="J695" s="274" t="s">
        <v>98</v>
      </c>
      <c r="K695" s="287" t="s">
        <v>2150</v>
      </c>
      <c r="L695" s="274" t="s">
        <v>155</v>
      </c>
      <c r="M695" s="270"/>
      <c r="N695" s="270"/>
      <c r="O695" s="270"/>
    </row>
    <row r="696" spans="1:15" hidden="1">
      <c r="A696" s="269">
        <v>45762</v>
      </c>
      <c r="B696" s="270" t="s">
        <v>1393</v>
      </c>
      <c r="C696" s="270" t="s">
        <v>152</v>
      </c>
      <c r="D696" s="271" t="s">
        <v>502</v>
      </c>
      <c r="E696" s="272">
        <v>55000</v>
      </c>
      <c r="F696" s="272">
        <v>94.354350335987263</v>
      </c>
      <c r="G696" s="273">
        <v>582.90899999999999</v>
      </c>
      <c r="H696" s="274" t="s">
        <v>643</v>
      </c>
      <c r="I696" s="274" t="s">
        <v>1394</v>
      </c>
      <c r="J696" s="274" t="s">
        <v>98</v>
      </c>
      <c r="K696" s="287" t="s">
        <v>2150</v>
      </c>
      <c r="L696" s="274" t="s">
        <v>155</v>
      </c>
      <c r="M696" s="270"/>
      <c r="N696" s="270"/>
      <c r="O696" s="270"/>
    </row>
    <row r="697" spans="1:15" hidden="1">
      <c r="A697" s="269">
        <v>45762</v>
      </c>
      <c r="B697" s="270" t="s">
        <v>1395</v>
      </c>
      <c r="C697" s="270" t="s">
        <v>152</v>
      </c>
      <c r="D697" s="270" t="s">
        <v>120</v>
      </c>
      <c r="E697" s="272">
        <v>10000</v>
      </c>
      <c r="F697" s="272">
        <v>17.155336424724958</v>
      </c>
      <c r="G697" s="273">
        <v>582.90899999999999</v>
      </c>
      <c r="H697" s="274" t="s">
        <v>643</v>
      </c>
      <c r="I697" s="274" t="s">
        <v>1396</v>
      </c>
      <c r="J697" s="274" t="s">
        <v>98</v>
      </c>
      <c r="K697" s="287" t="s">
        <v>2150</v>
      </c>
      <c r="L697" s="274" t="s">
        <v>155</v>
      </c>
      <c r="M697" s="270"/>
      <c r="N697" s="270"/>
      <c r="O697" s="270"/>
    </row>
    <row r="698" spans="1:15" hidden="1">
      <c r="A698" s="269">
        <v>45762</v>
      </c>
      <c r="B698" s="270" t="s">
        <v>1397</v>
      </c>
      <c r="C698" s="270" t="s">
        <v>152</v>
      </c>
      <c r="D698" s="271" t="s">
        <v>117</v>
      </c>
      <c r="E698" s="272">
        <v>10000</v>
      </c>
      <c r="F698" s="272">
        <v>17.155336424724958</v>
      </c>
      <c r="G698" s="273">
        <v>582.90899999999999</v>
      </c>
      <c r="H698" s="274" t="s">
        <v>643</v>
      </c>
      <c r="I698" s="274" t="s">
        <v>1398</v>
      </c>
      <c r="J698" s="274" t="s">
        <v>98</v>
      </c>
      <c r="K698" s="287" t="s">
        <v>2150</v>
      </c>
      <c r="L698" s="274" t="s">
        <v>155</v>
      </c>
      <c r="M698" s="270"/>
      <c r="N698" s="270"/>
      <c r="O698" s="270"/>
    </row>
    <row r="699" spans="1:15" hidden="1">
      <c r="A699" s="269">
        <v>45762</v>
      </c>
      <c r="B699" s="270" t="s">
        <v>1399</v>
      </c>
      <c r="C699" s="270" t="s">
        <v>152</v>
      </c>
      <c r="D699" s="271" t="s">
        <v>502</v>
      </c>
      <c r="E699" s="272">
        <v>5000</v>
      </c>
      <c r="F699" s="272">
        <v>8.5776682123624788</v>
      </c>
      <c r="G699" s="273">
        <v>582.90899999999999</v>
      </c>
      <c r="H699" s="274" t="s">
        <v>643</v>
      </c>
      <c r="I699" s="274" t="s">
        <v>1400</v>
      </c>
      <c r="J699" s="274" t="s">
        <v>98</v>
      </c>
      <c r="K699" s="287" t="s">
        <v>2150</v>
      </c>
      <c r="L699" s="274" t="s">
        <v>155</v>
      </c>
      <c r="M699" s="270"/>
      <c r="N699" s="270"/>
      <c r="O699" s="270"/>
    </row>
    <row r="700" spans="1:15" hidden="1">
      <c r="A700" s="269">
        <v>45762</v>
      </c>
      <c r="B700" s="270" t="s">
        <v>1427</v>
      </c>
      <c r="C700" s="276" t="s">
        <v>179</v>
      </c>
      <c r="D700" s="271" t="s">
        <v>502</v>
      </c>
      <c r="E700" s="272">
        <v>30000</v>
      </c>
      <c r="F700" s="272">
        <v>51.466009274174873</v>
      </c>
      <c r="G700" s="273">
        <v>582.90899999999999</v>
      </c>
      <c r="H700" s="274" t="s">
        <v>176</v>
      </c>
      <c r="I700" s="274" t="s">
        <v>1428</v>
      </c>
      <c r="J700" s="274" t="s">
        <v>98</v>
      </c>
      <c r="K700" s="287" t="s">
        <v>2150</v>
      </c>
      <c r="L700" s="274" t="s">
        <v>155</v>
      </c>
      <c r="M700" s="270"/>
      <c r="N700" s="270"/>
      <c r="O700" s="270"/>
    </row>
    <row r="701" spans="1:15" hidden="1">
      <c r="A701" s="269">
        <v>45762</v>
      </c>
      <c r="B701" s="270" t="s">
        <v>1429</v>
      </c>
      <c r="C701" s="270" t="s">
        <v>175</v>
      </c>
      <c r="D701" s="271" t="s">
        <v>502</v>
      </c>
      <c r="E701" s="272">
        <v>12000</v>
      </c>
      <c r="F701" s="272">
        <v>20.586403709669948</v>
      </c>
      <c r="G701" s="273">
        <v>582.90899999999999</v>
      </c>
      <c r="H701" s="274" t="s">
        <v>176</v>
      </c>
      <c r="I701" s="274" t="s">
        <v>1430</v>
      </c>
      <c r="J701" s="274" t="s">
        <v>98</v>
      </c>
      <c r="K701" s="287" t="s">
        <v>2150</v>
      </c>
      <c r="L701" s="274" t="s">
        <v>155</v>
      </c>
      <c r="M701" s="270"/>
      <c r="N701" s="270"/>
      <c r="O701" s="270"/>
    </row>
    <row r="702" spans="1:15" hidden="1">
      <c r="A702" s="269">
        <v>45762</v>
      </c>
      <c r="B702" s="270" t="s">
        <v>1465</v>
      </c>
      <c r="C702" s="276" t="s">
        <v>179</v>
      </c>
      <c r="D702" s="271" t="s">
        <v>502</v>
      </c>
      <c r="E702" s="272">
        <v>15000</v>
      </c>
      <c r="F702" s="272">
        <v>25.733004637087436</v>
      </c>
      <c r="G702" s="273">
        <v>582.90899999999999</v>
      </c>
      <c r="H702" s="274" t="s">
        <v>343</v>
      </c>
      <c r="I702" s="274" t="s">
        <v>1466</v>
      </c>
      <c r="J702" s="274" t="s">
        <v>98</v>
      </c>
      <c r="K702" s="287" t="s">
        <v>2150</v>
      </c>
      <c r="L702" s="274" t="s">
        <v>155</v>
      </c>
      <c r="M702" s="270"/>
      <c r="N702" s="270"/>
      <c r="O702" s="270"/>
    </row>
    <row r="703" spans="1:15" hidden="1">
      <c r="A703" s="269">
        <v>45763</v>
      </c>
      <c r="B703" s="270" t="s">
        <v>1488</v>
      </c>
      <c r="C703" s="276" t="s">
        <v>179</v>
      </c>
      <c r="D703" s="271" t="s">
        <v>117</v>
      </c>
      <c r="E703" s="272">
        <v>20000</v>
      </c>
      <c r="F703" s="272">
        <v>34.310672849449915</v>
      </c>
      <c r="G703" s="273">
        <v>582.90899999999999</v>
      </c>
      <c r="H703" s="274" t="s">
        <v>193</v>
      </c>
      <c r="I703" s="274" t="s">
        <v>1489</v>
      </c>
      <c r="J703" s="274" t="s">
        <v>98</v>
      </c>
      <c r="K703" s="287" t="s">
        <v>2150</v>
      </c>
      <c r="L703" s="274" t="s">
        <v>155</v>
      </c>
      <c r="M703" s="270"/>
      <c r="N703" s="270"/>
      <c r="O703" s="270"/>
    </row>
    <row r="704" spans="1:15" hidden="1">
      <c r="A704" s="269">
        <v>45764</v>
      </c>
      <c r="B704" s="270" t="s">
        <v>1467</v>
      </c>
      <c r="C704" s="277" t="s">
        <v>2342</v>
      </c>
      <c r="D704" s="270" t="s">
        <v>118</v>
      </c>
      <c r="E704" s="272">
        <v>7500</v>
      </c>
      <c r="F704" s="272">
        <v>12.866502318543718</v>
      </c>
      <c r="G704" s="273">
        <v>582.90899999999999</v>
      </c>
      <c r="H704" s="274" t="s">
        <v>343</v>
      </c>
      <c r="I704" s="274" t="s">
        <v>1468</v>
      </c>
      <c r="J704" s="274" t="s">
        <v>98</v>
      </c>
      <c r="K704" s="287" t="s">
        <v>2150</v>
      </c>
      <c r="L704" s="274" t="s">
        <v>155</v>
      </c>
      <c r="M704" s="270"/>
      <c r="N704" s="270"/>
      <c r="O704" s="270"/>
    </row>
    <row r="705" spans="1:15" hidden="1">
      <c r="A705" s="269">
        <v>45765</v>
      </c>
      <c r="B705" s="270" t="s">
        <v>1654</v>
      </c>
      <c r="C705" s="270" t="s">
        <v>175</v>
      </c>
      <c r="D705" s="271" t="s">
        <v>502</v>
      </c>
      <c r="E705" s="272">
        <v>7000</v>
      </c>
      <c r="F705" s="272">
        <v>12.00873549730747</v>
      </c>
      <c r="G705" s="273">
        <v>582.90899999999999</v>
      </c>
      <c r="H705" s="274" t="s">
        <v>187</v>
      </c>
      <c r="I705" s="274" t="s">
        <v>1655</v>
      </c>
      <c r="J705" s="274" t="s">
        <v>98</v>
      </c>
      <c r="K705" s="287" t="s">
        <v>2150</v>
      </c>
      <c r="L705" s="274" t="s">
        <v>155</v>
      </c>
      <c r="M705" s="270"/>
      <c r="N705" s="270"/>
      <c r="O705" s="270"/>
    </row>
    <row r="706" spans="1:15" hidden="1">
      <c r="A706" s="289">
        <v>45765</v>
      </c>
      <c r="B706" s="270" t="s">
        <v>454</v>
      </c>
      <c r="C706" s="270" t="s">
        <v>175</v>
      </c>
      <c r="D706" s="271" t="s">
        <v>502</v>
      </c>
      <c r="E706" s="272">
        <v>7000</v>
      </c>
      <c r="F706" s="272">
        <v>12.00873549730747</v>
      </c>
      <c r="G706" s="273">
        <v>582.90899999999999</v>
      </c>
      <c r="H706" s="274" t="s">
        <v>332</v>
      </c>
      <c r="I706" s="274" t="s">
        <v>1440</v>
      </c>
      <c r="J706" s="274" t="s">
        <v>98</v>
      </c>
      <c r="K706" s="287" t="s">
        <v>2150</v>
      </c>
      <c r="L706" s="274" t="s">
        <v>155</v>
      </c>
      <c r="M706" s="270"/>
      <c r="N706" s="270"/>
      <c r="O706" s="270"/>
    </row>
    <row r="707" spans="1:15" hidden="1">
      <c r="A707" s="269">
        <v>45765</v>
      </c>
      <c r="B707" s="270" t="s">
        <v>1481</v>
      </c>
      <c r="C707" s="270" t="s">
        <v>175</v>
      </c>
      <c r="D707" s="271" t="s">
        <v>117</v>
      </c>
      <c r="E707" s="272">
        <v>7000</v>
      </c>
      <c r="F707" s="272">
        <v>12.00873549730747</v>
      </c>
      <c r="G707" s="273">
        <v>582.90899999999999</v>
      </c>
      <c r="H707" s="274" t="s">
        <v>190</v>
      </c>
      <c r="I707" s="274" t="s">
        <v>1482</v>
      </c>
      <c r="J707" s="274" t="s">
        <v>98</v>
      </c>
      <c r="K707" s="287" t="s">
        <v>2150</v>
      </c>
      <c r="L707" s="274" t="s">
        <v>155</v>
      </c>
      <c r="M707" s="270"/>
      <c r="N707" s="270"/>
      <c r="O707" s="270"/>
    </row>
    <row r="708" spans="1:15" hidden="1">
      <c r="A708" s="289">
        <v>45765</v>
      </c>
      <c r="B708" s="270" t="s">
        <v>1490</v>
      </c>
      <c r="C708" s="270" t="s">
        <v>175</v>
      </c>
      <c r="D708" s="271" t="s">
        <v>117</v>
      </c>
      <c r="E708" s="272">
        <v>7000</v>
      </c>
      <c r="F708" s="272">
        <v>12.00873549730747</v>
      </c>
      <c r="G708" s="273">
        <v>582.90899999999999</v>
      </c>
      <c r="H708" s="274" t="s">
        <v>193</v>
      </c>
      <c r="I708" s="274" t="s">
        <v>1491</v>
      </c>
      <c r="J708" s="274" t="s">
        <v>98</v>
      </c>
      <c r="K708" s="287" t="s">
        <v>2150</v>
      </c>
      <c r="L708" s="274" t="s">
        <v>155</v>
      </c>
      <c r="M708" s="270"/>
      <c r="N708" s="270"/>
      <c r="O708" s="270"/>
    </row>
    <row r="709" spans="1:15" hidden="1">
      <c r="A709" s="289">
        <v>45765</v>
      </c>
      <c r="B709" s="270" t="s">
        <v>1537</v>
      </c>
      <c r="C709" s="270" t="s">
        <v>175</v>
      </c>
      <c r="D709" s="271" t="s">
        <v>117</v>
      </c>
      <c r="E709" s="272">
        <v>7000</v>
      </c>
      <c r="F709" s="272">
        <v>12.00873549730747</v>
      </c>
      <c r="G709" s="273">
        <v>582.90899999999999</v>
      </c>
      <c r="H709" s="274" t="s">
        <v>196</v>
      </c>
      <c r="I709" s="274" t="s">
        <v>1538</v>
      </c>
      <c r="J709" s="274" t="s">
        <v>98</v>
      </c>
      <c r="K709" s="287" t="s">
        <v>2150</v>
      </c>
      <c r="L709" s="274" t="s">
        <v>155</v>
      </c>
      <c r="M709" s="270"/>
      <c r="N709" s="270"/>
      <c r="O709" s="270"/>
    </row>
    <row r="710" spans="1:15" hidden="1">
      <c r="A710" s="289">
        <v>45765</v>
      </c>
      <c r="B710" s="270" t="s">
        <v>1570</v>
      </c>
      <c r="C710" s="270" t="s">
        <v>199</v>
      </c>
      <c r="D710" s="271" t="s">
        <v>117</v>
      </c>
      <c r="E710" s="272">
        <v>7000</v>
      </c>
      <c r="F710" s="272">
        <v>12.00873549730747</v>
      </c>
      <c r="G710" s="273">
        <v>582.90899999999999</v>
      </c>
      <c r="H710" s="274" t="s">
        <v>497</v>
      </c>
      <c r="I710" s="274" t="s">
        <v>1571</v>
      </c>
      <c r="J710" s="274" t="s">
        <v>98</v>
      </c>
      <c r="K710" s="287" t="s">
        <v>2150</v>
      </c>
      <c r="L710" s="274" t="s">
        <v>155</v>
      </c>
      <c r="M710" s="270"/>
      <c r="N710" s="270"/>
      <c r="O710" s="270"/>
    </row>
    <row r="711" spans="1:15" hidden="1">
      <c r="A711" s="269">
        <v>45765</v>
      </c>
      <c r="B711" s="270" t="s">
        <v>1336</v>
      </c>
      <c r="C711" s="270" t="s">
        <v>175</v>
      </c>
      <c r="D711" s="271" t="s">
        <v>117</v>
      </c>
      <c r="E711" s="272">
        <v>7000</v>
      </c>
      <c r="F711" s="272">
        <v>12.00873549730747</v>
      </c>
      <c r="G711" s="273">
        <v>582.90899999999999</v>
      </c>
      <c r="H711" s="274" t="s">
        <v>203</v>
      </c>
      <c r="I711" s="274" t="s">
        <v>1337</v>
      </c>
      <c r="J711" s="274" t="s">
        <v>98</v>
      </c>
      <c r="K711" s="287" t="s">
        <v>2150</v>
      </c>
      <c r="L711" s="274" t="s">
        <v>155</v>
      </c>
      <c r="M711" s="270"/>
      <c r="N711" s="270"/>
      <c r="O711" s="270"/>
    </row>
    <row r="712" spans="1:15" hidden="1">
      <c r="A712" s="269">
        <v>45765</v>
      </c>
      <c r="B712" s="270" t="s">
        <v>1441</v>
      </c>
      <c r="C712" s="276" t="s">
        <v>179</v>
      </c>
      <c r="D712" s="271" t="s">
        <v>502</v>
      </c>
      <c r="E712" s="272">
        <v>210000</v>
      </c>
      <c r="F712" s="272">
        <v>360.26206491922409</v>
      </c>
      <c r="G712" s="273">
        <v>582.90899999999999</v>
      </c>
      <c r="H712" s="274" t="s">
        <v>332</v>
      </c>
      <c r="I712" s="274" t="s">
        <v>1442</v>
      </c>
      <c r="J712" s="274" t="s">
        <v>98</v>
      </c>
      <c r="K712" s="287" t="s">
        <v>2150</v>
      </c>
      <c r="L712" s="274" t="s">
        <v>155</v>
      </c>
      <c r="M712" s="270"/>
      <c r="N712" s="270"/>
      <c r="O712" s="270"/>
    </row>
    <row r="713" spans="1:15" hidden="1">
      <c r="A713" s="269">
        <v>45765</v>
      </c>
      <c r="B713" s="270" t="s">
        <v>1443</v>
      </c>
      <c r="C713" s="270" t="s">
        <v>175</v>
      </c>
      <c r="D713" s="271" t="s">
        <v>502</v>
      </c>
      <c r="E713" s="272">
        <v>34300</v>
      </c>
      <c r="F713" s="272">
        <v>58.842803936806604</v>
      </c>
      <c r="G713" s="273">
        <v>582.90899999999999</v>
      </c>
      <c r="H713" s="274" t="s">
        <v>332</v>
      </c>
      <c r="I713" s="274" t="s">
        <v>1444</v>
      </c>
      <c r="J713" s="274" t="s">
        <v>98</v>
      </c>
      <c r="K713" s="287" t="s">
        <v>2150</v>
      </c>
      <c r="L713" s="274" t="s">
        <v>155</v>
      </c>
      <c r="M713" s="270"/>
      <c r="N713" s="270"/>
      <c r="O713" s="270"/>
    </row>
    <row r="714" spans="1:15" hidden="1">
      <c r="A714" s="269">
        <v>45765</v>
      </c>
      <c r="B714" s="270" t="s">
        <v>1666</v>
      </c>
      <c r="C714" s="276" t="s">
        <v>179</v>
      </c>
      <c r="D714" s="271" t="s">
        <v>117</v>
      </c>
      <c r="E714" s="272">
        <v>105000</v>
      </c>
      <c r="F714" s="272">
        <v>180.13103245961204</v>
      </c>
      <c r="G714" s="273">
        <v>582.90899999999999</v>
      </c>
      <c r="H714" s="274" t="s">
        <v>190</v>
      </c>
      <c r="I714" s="274" t="s">
        <v>1483</v>
      </c>
      <c r="J714" s="274" t="s">
        <v>98</v>
      </c>
      <c r="K714" s="287" t="s">
        <v>2150</v>
      </c>
      <c r="L714" s="274" t="s">
        <v>155</v>
      </c>
      <c r="M714" s="270"/>
      <c r="N714" s="270"/>
      <c r="O714" s="270"/>
    </row>
    <row r="715" spans="1:15" hidden="1">
      <c r="A715" s="269">
        <v>45765</v>
      </c>
      <c r="B715" s="270" t="s">
        <v>1492</v>
      </c>
      <c r="C715" s="276" t="s">
        <v>179</v>
      </c>
      <c r="D715" s="271" t="s">
        <v>117</v>
      </c>
      <c r="E715" s="272">
        <v>30000</v>
      </c>
      <c r="F715" s="272">
        <v>51.466009274174873</v>
      </c>
      <c r="G715" s="273">
        <v>582.90899999999999</v>
      </c>
      <c r="H715" s="274" t="s">
        <v>193</v>
      </c>
      <c r="I715" s="274" t="s">
        <v>1493</v>
      </c>
      <c r="J715" s="274" t="s">
        <v>98</v>
      </c>
      <c r="K715" s="287" t="s">
        <v>2150</v>
      </c>
      <c r="L715" s="274" t="s">
        <v>155</v>
      </c>
      <c r="M715" s="270"/>
      <c r="N715" s="270"/>
      <c r="O715" s="270"/>
    </row>
    <row r="716" spans="1:15" hidden="1">
      <c r="A716" s="269">
        <v>45765</v>
      </c>
      <c r="B716" s="270" t="s">
        <v>1676</v>
      </c>
      <c r="C716" s="276" t="s">
        <v>179</v>
      </c>
      <c r="D716" s="271" t="s">
        <v>117</v>
      </c>
      <c r="E716" s="272">
        <v>90000</v>
      </c>
      <c r="F716" s="272">
        <v>154.39802782252463</v>
      </c>
      <c r="G716" s="273">
        <v>582.90899999999999</v>
      </c>
      <c r="H716" s="274" t="s">
        <v>196</v>
      </c>
      <c r="I716" s="274" t="s">
        <v>1539</v>
      </c>
      <c r="J716" s="274" t="s">
        <v>98</v>
      </c>
      <c r="K716" s="287" t="s">
        <v>2150</v>
      </c>
      <c r="L716" s="274" t="s">
        <v>155</v>
      </c>
      <c r="M716" s="270"/>
      <c r="N716" s="270"/>
      <c r="O716" s="270"/>
    </row>
    <row r="717" spans="1:15" hidden="1">
      <c r="A717" s="269">
        <v>45765</v>
      </c>
      <c r="B717" s="270" t="s">
        <v>1572</v>
      </c>
      <c r="C717" s="276" t="s">
        <v>179</v>
      </c>
      <c r="D717" s="271" t="s">
        <v>117</v>
      </c>
      <c r="E717" s="272">
        <v>105000</v>
      </c>
      <c r="F717" s="272">
        <v>180.13103245961204</v>
      </c>
      <c r="G717" s="273">
        <v>582.90899999999999</v>
      </c>
      <c r="H717" s="274" t="s">
        <v>497</v>
      </c>
      <c r="I717" s="274" t="s">
        <v>1573</v>
      </c>
      <c r="J717" s="274" t="s">
        <v>98</v>
      </c>
      <c r="K717" s="287" t="s">
        <v>2150</v>
      </c>
      <c r="L717" s="274" t="s">
        <v>155</v>
      </c>
      <c r="M717" s="270"/>
      <c r="N717" s="270"/>
      <c r="O717" s="270"/>
    </row>
    <row r="718" spans="1:15" hidden="1">
      <c r="A718" s="269">
        <v>45765</v>
      </c>
      <c r="B718" s="270" t="s">
        <v>1587</v>
      </c>
      <c r="C718" s="270" t="s">
        <v>175</v>
      </c>
      <c r="D718" s="270" t="s">
        <v>120</v>
      </c>
      <c r="E718" s="272">
        <v>7000</v>
      </c>
      <c r="F718" s="272">
        <v>12.00873549730747</v>
      </c>
      <c r="G718" s="273">
        <v>582.90899999999999</v>
      </c>
      <c r="H718" s="274" t="s">
        <v>217</v>
      </c>
      <c r="I718" s="274" t="s">
        <v>1588</v>
      </c>
      <c r="J718" s="274" t="s">
        <v>98</v>
      </c>
      <c r="K718" s="287" t="s">
        <v>2150</v>
      </c>
      <c r="L718" s="274" t="s">
        <v>155</v>
      </c>
      <c r="M718" s="270"/>
      <c r="N718" s="270"/>
      <c r="O718" s="270"/>
    </row>
    <row r="719" spans="1:15" hidden="1">
      <c r="A719" s="269">
        <v>45765</v>
      </c>
      <c r="B719" s="270" t="s">
        <v>1668</v>
      </c>
      <c r="C719" s="276" t="s">
        <v>179</v>
      </c>
      <c r="D719" s="270" t="s">
        <v>120</v>
      </c>
      <c r="E719" s="272">
        <v>105000</v>
      </c>
      <c r="F719" s="272">
        <v>180.13103245961204</v>
      </c>
      <c r="G719" s="273">
        <v>582.90899999999999</v>
      </c>
      <c r="H719" s="274" t="s">
        <v>217</v>
      </c>
      <c r="I719" s="274" t="s">
        <v>1589</v>
      </c>
      <c r="J719" s="274" t="s">
        <v>98</v>
      </c>
      <c r="K719" s="287" t="s">
        <v>2150</v>
      </c>
      <c r="L719" s="274" t="s">
        <v>155</v>
      </c>
      <c r="M719" s="270"/>
      <c r="N719" s="270"/>
      <c r="O719" s="270"/>
    </row>
    <row r="720" spans="1:15" hidden="1">
      <c r="A720" s="269">
        <v>45766</v>
      </c>
      <c r="B720" s="270" t="s">
        <v>1680</v>
      </c>
      <c r="C720" s="276" t="s">
        <v>179</v>
      </c>
      <c r="D720" s="271" t="s">
        <v>502</v>
      </c>
      <c r="E720" s="272">
        <v>150000</v>
      </c>
      <c r="F720" s="272">
        <v>257.33004637087436</v>
      </c>
      <c r="G720" s="273">
        <v>582.90899999999999</v>
      </c>
      <c r="H720" s="274" t="s">
        <v>187</v>
      </c>
      <c r="I720" s="274" t="s">
        <v>1656</v>
      </c>
      <c r="J720" s="274" t="s">
        <v>98</v>
      </c>
      <c r="K720" s="287" t="s">
        <v>2150</v>
      </c>
      <c r="L720" s="274" t="s">
        <v>155</v>
      </c>
      <c r="M720" s="270"/>
      <c r="N720" s="270"/>
      <c r="O720" s="270"/>
    </row>
    <row r="721" spans="1:15" hidden="1">
      <c r="A721" s="269">
        <v>45766</v>
      </c>
      <c r="B721" s="270" t="s">
        <v>1681</v>
      </c>
      <c r="C721" s="276" t="s">
        <v>179</v>
      </c>
      <c r="D721" s="271" t="s">
        <v>502</v>
      </c>
      <c r="E721" s="272">
        <v>150000</v>
      </c>
      <c r="F721" s="272">
        <v>257.33004637087436</v>
      </c>
      <c r="G721" s="273">
        <v>582.90899999999999</v>
      </c>
      <c r="H721" s="274" t="s">
        <v>187</v>
      </c>
      <c r="I721" s="274" t="s">
        <v>1657</v>
      </c>
      <c r="J721" s="274" t="s">
        <v>98</v>
      </c>
      <c r="K721" s="287" t="s">
        <v>2150</v>
      </c>
      <c r="L721" s="274" t="s">
        <v>155</v>
      </c>
      <c r="M721" s="270"/>
      <c r="N721" s="270"/>
      <c r="O721" s="270"/>
    </row>
    <row r="722" spans="1:15" hidden="1">
      <c r="A722" s="269">
        <v>45769</v>
      </c>
      <c r="B722" s="270" t="s">
        <v>1670</v>
      </c>
      <c r="C722" s="270" t="s">
        <v>127</v>
      </c>
      <c r="D722" s="271" t="s">
        <v>1110</v>
      </c>
      <c r="E722" s="272">
        <v>55500</v>
      </c>
      <c r="F722" s="272">
        <v>95.212117157223517</v>
      </c>
      <c r="G722" s="273">
        <v>582.90899999999999</v>
      </c>
      <c r="H722" s="274" t="s">
        <v>153</v>
      </c>
      <c r="I722" s="274" t="s">
        <v>1341</v>
      </c>
      <c r="J722" s="274" t="s">
        <v>98</v>
      </c>
      <c r="K722" s="287" t="s">
        <v>2150</v>
      </c>
      <c r="L722" s="274" t="s">
        <v>155</v>
      </c>
      <c r="M722" s="270"/>
      <c r="N722" s="270"/>
      <c r="O722" s="270"/>
    </row>
    <row r="723" spans="1:15" hidden="1">
      <c r="A723" s="269">
        <v>45770</v>
      </c>
      <c r="B723" s="270" t="s">
        <v>1611</v>
      </c>
      <c r="C723" s="270" t="s">
        <v>127</v>
      </c>
      <c r="D723" s="271" t="s">
        <v>502</v>
      </c>
      <c r="E723" s="272">
        <v>255000</v>
      </c>
      <c r="F723" s="272">
        <v>437.46107883048643</v>
      </c>
      <c r="G723" s="273">
        <v>582.90899999999999</v>
      </c>
      <c r="H723" s="274" t="s">
        <v>148</v>
      </c>
      <c r="I723" s="274" t="s">
        <v>1630</v>
      </c>
      <c r="J723" s="274" t="s">
        <v>98</v>
      </c>
      <c r="K723" s="287" t="s">
        <v>2150</v>
      </c>
      <c r="L723" s="274" t="s">
        <v>155</v>
      </c>
      <c r="M723" s="270"/>
      <c r="N723" s="270"/>
      <c r="O723" s="270"/>
    </row>
    <row r="724" spans="1:15" hidden="1">
      <c r="A724" s="269">
        <v>45770</v>
      </c>
      <c r="B724" s="270" t="s">
        <v>1686</v>
      </c>
      <c r="C724" s="270" t="s">
        <v>123</v>
      </c>
      <c r="D724" s="271" t="s">
        <v>117</v>
      </c>
      <c r="E724" s="272">
        <v>300000</v>
      </c>
      <c r="F724" s="272">
        <v>514.66009274174871</v>
      </c>
      <c r="G724" s="282">
        <v>579.64599999999996</v>
      </c>
      <c r="H724" s="274" t="s">
        <v>148</v>
      </c>
      <c r="I724" s="274" t="s">
        <v>1631</v>
      </c>
      <c r="J724" s="274" t="s">
        <v>98</v>
      </c>
      <c r="K724" s="290" t="s">
        <v>205</v>
      </c>
      <c r="L724" s="274" t="s">
        <v>155</v>
      </c>
      <c r="M724" s="270"/>
      <c r="N724" s="270"/>
      <c r="O724" s="270"/>
    </row>
    <row r="725" spans="1:15" hidden="1">
      <c r="A725" s="269">
        <v>45770</v>
      </c>
      <c r="B725" s="270" t="s">
        <v>1685</v>
      </c>
      <c r="C725" s="270" t="s">
        <v>175</v>
      </c>
      <c r="D725" s="271" t="s">
        <v>117</v>
      </c>
      <c r="E725" s="272">
        <v>300000</v>
      </c>
      <c r="F725" s="272">
        <v>514.66009274174871</v>
      </c>
      <c r="G725" s="273">
        <v>582.90899999999999</v>
      </c>
      <c r="H725" s="274" t="s">
        <v>148</v>
      </c>
      <c r="I725" s="274" t="s">
        <v>1632</v>
      </c>
      <c r="J725" s="274" t="s">
        <v>98</v>
      </c>
      <c r="K725" s="287" t="s">
        <v>2150</v>
      </c>
      <c r="L725" s="274" t="s">
        <v>155</v>
      </c>
      <c r="M725" s="270"/>
      <c r="N725" s="270"/>
      <c r="O725" s="270"/>
    </row>
    <row r="726" spans="1:15" hidden="1">
      <c r="A726" s="269">
        <v>45771</v>
      </c>
      <c r="B726" s="270" t="s">
        <v>1401</v>
      </c>
      <c r="C726" s="270" t="s">
        <v>127</v>
      </c>
      <c r="D726" s="270" t="s">
        <v>118</v>
      </c>
      <c r="E726" s="272">
        <v>10500</v>
      </c>
      <c r="F726" s="272">
        <v>18.013103245961204</v>
      </c>
      <c r="G726" s="273">
        <v>582.90899999999999</v>
      </c>
      <c r="H726" s="274" t="s">
        <v>643</v>
      </c>
      <c r="I726" s="274" t="s">
        <v>1402</v>
      </c>
      <c r="J726" s="274" t="s">
        <v>98</v>
      </c>
      <c r="K726" s="287" t="s">
        <v>2150</v>
      </c>
      <c r="L726" s="274" t="s">
        <v>155</v>
      </c>
      <c r="M726" s="270"/>
      <c r="N726" s="270"/>
      <c r="O726" s="270"/>
    </row>
    <row r="727" spans="1:15" hidden="1">
      <c r="A727" s="269">
        <v>45771</v>
      </c>
      <c r="B727" s="270" t="s">
        <v>1494</v>
      </c>
      <c r="C727" s="270" t="s">
        <v>175</v>
      </c>
      <c r="D727" s="271" t="s">
        <v>117</v>
      </c>
      <c r="E727" s="272">
        <v>37750</v>
      </c>
      <c r="F727" s="272">
        <v>64.761395003336716</v>
      </c>
      <c r="G727" s="273">
        <v>582.90899999999999</v>
      </c>
      <c r="H727" s="274" t="s">
        <v>193</v>
      </c>
      <c r="I727" s="274" t="s">
        <v>1495</v>
      </c>
      <c r="J727" s="274" t="s">
        <v>98</v>
      </c>
      <c r="K727" s="287" t="s">
        <v>2150</v>
      </c>
      <c r="L727" s="274" t="s">
        <v>155</v>
      </c>
      <c r="M727" s="270"/>
      <c r="N727" s="270"/>
      <c r="O727" s="270"/>
    </row>
    <row r="728" spans="1:15" hidden="1">
      <c r="A728" s="269">
        <v>45771</v>
      </c>
      <c r="B728" s="270" t="s">
        <v>931</v>
      </c>
      <c r="C728" s="276" t="s">
        <v>1321</v>
      </c>
      <c r="D728" s="270" t="s">
        <v>118</v>
      </c>
      <c r="E728" s="272">
        <v>31250</v>
      </c>
      <c r="F728" s="272">
        <v>53.610426327265493</v>
      </c>
      <c r="G728" s="273">
        <v>582.90899999999999</v>
      </c>
      <c r="H728" s="274" t="s">
        <v>193</v>
      </c>
      <c r="I728" s="274" t="s">
        <v>1512</v>
      </c>
      <c r="J728" s="274" t="s">
        <v>98</v>
      </c>
      <c r="K728" s="287" t="s">
        <v>2150</v>
      </c>
      <c r="L728" s="274" t="s">
        <v>155</v>
      </c>
      <c r="M728" s="270"/>
      <c r="N728" s="270"/>
      <c r="O728" s="270"/>
    </row>
    <row r="729" spans="1:15" hidden="1">
      <c r="A729" s="269">
        <v>45771</v>
      </c>
      <c r="B729" s="270" t="s">
        <v>1677</v>
      </c>
      <c r="C729" s="276" t="s">
        <v>1321</v>
      </c>
      <c r="D729" s="270" t="s">
        <v>118</v>
      </c>
      <c r="E729" s="272">
        <v>31250</v>
      </c>
      <c r="F729" s="272">
        <v>53.610426327265493</v>
      </c>
      <c r="G729" s="273">
        <v>582.90899999999999</v>
      </c>
      <c r="H729" s="274" t="s">
        <v>196</v>
      </c>
      <c r="I729" s="274" t="s">
        <v>1540</v>
      </c>
      <c r="J729" s="274" t="s">
        <v>98</v>
      </c>
      <c r="K729" s="287" t="s">
        <v>2150</v>
      </c>
      <c r="L729" s="274" t="s">
        <v>155</v>
      </c>
      <c r="M729" s="270"/>
      <c r="N729" s="270"/>
      <c r="O729" s="270"/>
    </row>
    <row r="730" spans="1:15" hidden="1">
      <c r="A730" s="269">
        <v>45771</v>
      </c>
      <c r="B730" s="270" t="s">
        <v>1669</v>
      </c>
      <c r="C730" s="276" t="s">
        <v>1321</v>
      </c>
      <c r="D730" s="270" t="s">
        <v>118</v>
      </c>
      <c r="E730" s="272">
        <v>20000</v>
      </c>
      <c r="F730" s="272">
        <v>34.310672849449915</v>
      </c>
      <c r="G730" s="273">
        <v>582.90899999999999</v>
      </c>
      <c r="H730" s="274" t="s">
        <v>217</v>
      </c>
      <c r="I730" s="274" t="s">
        <v>1595</v>
      </c>
      <c r="J730" s="274" t="s">
        <v>98</v>
      </c>
      <c r="K730" s="287" t="s">
        <v>2150</v>
      </c>
      <c r="L730" s="274" t="s">
        <v>155</v>
      </c>
      <c r="M730" s="270"/>
      <c r="N730" s="270"/>
      <c r="O730" s="270"/>
    </row>
    <row r="731" spans="1:15" hidden="1">
      <c r="A731" s="269">
        <v>45772</v>
      </c>
      <c r="B731" s="270" t="s">
        <v>644</v>
      </c>
      <c r="C731" s="270" t="s">
        <v>406</v>
      </c>
      <c r="D731" s="271" t="s">
        <v>502</v>
      </c>
      <c r="E731" s="272">
        <v>50000</v>
      </c>
      <c r="F731" s="272">
        <v>85.776682123624781</v>
      </c>
      <c r="G731" s="273">
        <v>582.90899999999999</v>
      </c>
      <c r="H731" s="274" t="s">
        <v>153</v>
      </c>
      <c r="I731" s="274" t="s">
        <v>1342</v>
      </c>
      <c r="J731" s="274" t="s">
        <v>98</v>
      </c>
      <c r="K731" s="287" t="s">
        <v>2150</v>
      </c>
      <c r="L731" s="274" t="s">
        <v>155</v>
      </c>
      <c r="M731" s="270"/>
      <c r="N731" s="270"/>
      <c r="O731" s="270"/>
    </row>
    <row r="732" spans="1:15" hidden="1">
      <c r="A732" s="269">
        <v>45772</v>
      </c>
      <c r="B732" s="270" t="s">
        <v>1403</v>
      </c>
      <c r="C732" s="270" t="s">
        <v>317</v>
      </c>
      <c r="D732" s="270" t="s">
        <v>118</v>
      </c>
      <c r="E732" s="272">
        <v>8000</v>
      </c>
      <c r="F732" s="272">
        <v>13.724269139779965</v>
      </c>
      <c r="G732" s="273">
        <v>582.90899999999999</v>
      </c>
      <c r="H732" s="274" t="s">
        <v>643</v>
      </c>
      <c r="I732" s="274" t="s">
        <v>1404</v>
      </c>
      <c r="J732" s="274" t="s">
        <v>98</v>
      </c>
      <c r="K732" s="287" t="s">
        <v>2150</v>
      </c>
      <c r="L732" s="274" t="s">
        <v>155</v>
      </c>
      <c r="M732" s="270"/>
      <c r="N732" s="270"/>
      <c r="O732" s="270"/>
    </row>
    <row r="733" spans="1:15" hidden="1">
      <c r="A733" s="269">
        <v>45772</v>
      </c>
      <c r="B733" s="270" t="s">
        <v>1658</v>
      </c>
      <c r="C733" s="270" t="s">
        <v>175</v>
      </c>
      <c r="D733" s="271" t="s">
        <v>502</v>
      </c>
      <c r="E733" s="272">
        <v>48400</v>
      </c>
      <c r="F733" s="272">
        <v>83.031828295668788</v>
      </c>
      <c r="G733" s="273">
        <v>582.90899999999999</v>
      </c>
      <c r="H733" s="274" t="s">
        <v>187</v>
      </c>
      <c r="I733" s="274" t="s">
        <v>1659</v>
      </c>
      <c r="J733" s="274" t="s">
        <v>98</v>
      </c>
      <c r="K733" s="287" t="s">
        <v>2150</v>
      </c>
      <c r="L733" s="274" t="s">
        <v>155</v>
      </c>
      <c r="M733" s="270"/>
      <c r="N733" s="270"/>
      <c r="O733" s="270"/>
    </row>
    <row r="734" spans="1:15" hidden="1">
      <c r="A734" s="269">
        <v>45772</v>
      </c>
      <c r="B734" s="270" t="s">
        <v>1660</v>
      </c>
      <c r="C734" s="270" t="s">
        <v>406</v>
      </c>
      <c r="D734" s="271" t="s">
        <v>502</v>
      </c>
      <c r="E734" s="272">
        <v>9000</v>
      </c>
      <c r="F734" s="272">
        <v>15.439802782252462</v>
      </c>
      <c r="G734" s="273">
        <v>582.90899999999999</v>
      </c>
      <c r="H734" s="274" t="s">
        <v>187</v>
      </c>
      <c r="I734" s="274" t="s">
        <v>1661</v>
      </c>
      <c r="J734" s="274" t="s">
        <v>98</v>
      </c>
      <c r="K734" s="287" t="s">
        <v>2150</v>
      </c>
      <c r="L734" s="274" t="s">
        <v>155</v>
      </c>
      <c r="M734" s="270"/>
      <c r="N734" s="270"/>
      <c r="O734" s="270"/>
    </row>
    <row r="735" spans="1:15" hidden="1">
      <c r="A735" s="269">
        <v>45772</v>
      </c>
      <c r="B735" s="270" t="s">
        <v>1431</v>
      </c>
      <c r="C735" s="270" t="s">
        <v>406</v>
      </c>
      <c r="D735" s="271" t="s">
        <v>502</v>
      </c>
      <c r="E735" s="272">
        <v>15000</v>
      </c>
      <c r="F735" s="272">
        <v>25.733004637087436</v>
      </c>
      <c r="G735" s="273">
        <v>582.90899999999999</v>
      </c>
      <c r="H735" s="274" t="s">
        <v>176</v>
      </c>
      <c r="I735" s="274" t="s">
        <v>1432</v>
      </c>
      <c r="J735" s="274" t="s">
        <v>98</v>
      </c>
      <c r="K735" s="287" t="s">
        <v>2150</v>
      </c>
      <c r="L735" s="274" t="s">
        <v>155</v>
      </c>
      <c r="M735" s="270"/>
      <c r="N735" s="270"/>
      <c r="O735" s="270"/>
    </row>
    <row r="736" spans="1:15" hidden="1">
      <c r="A736" s="269">
        <v>45772</v>
      </c>
      <c r="B736" s="270" t="s">
        <v>1469</v>
      </c>
      <c r="C736" s="270" t="s">
        <v>406</v>
      </c>
      <c r="D736" s="271" t="s">
        <v>502</v>
      </c>
      <c r="E736" s="272">
        <v>10500</v>
      </c>
      <c r="F736" s="272">
        <v>18.013103245961204</v>
      </c>
      <c r="G736" s="273">
        <v>582.90899999999999</v>
      </c>
      <c r="H736" s="274" t="s">
        <v>343</v>
      </c>
      <c r="I736" s="274" t="s">
        <v>1470</v>
      </c>
      <c r="J736" s="274" t="s">
        <v>98</v>
      </c>
      <c r="K736" s="287" t="s">
        <v>2150</v>
      </c>
      <c r="L736" s="274" t="s">
        <v>155</v>
      </c>
      <c r="M736" s="270"/>
      <c r="N736" s="270"/>
      <c r="O736" s="270"/>
    </row>
    <row r="737" spans="1:15" hidden="1">
      <c r="A737" s="269">
        <v>45772</v>
      </c>
      <c r="B737" s="270" t="s">
        <v>1484</v>
      </c>
      <c r="C737" s="270" t="s">
        <v>175</v>
      </c>
      <c r="D737" s="271" t="s">
        <v>117</v>
      </c>
      <c r="E737" s="272">
        <v>23600</v>
      </c>
      <c r="F737" s="272">
        <v>40.486593962350902</v>
      </c>
      <c r="G737" s="273">
        <v>582.90899999999999</v>
      </c>
      <c r="H737" s="274" t="s">
        <v>190</v>
      </c>
      <c r="I737" s="274" t="s">
        <v>1485</v>
      </c>
      <c r="J737" s="274" t="s">
        <v>98</v>
      </c>
      <c r="K737" s="287" t="s">
        <v>2150</v>
      </c>
      <c r="L737" s="274" t="s">
        <v>155</v>
      </c>
      <c r="M737" s="270"/>
      <c r="N737" s="270"/>
      <c r="O737" s="270"/>
    </row>
    <row r="738" spans="1:15" hidden="1">
      <c r="A738" s="269">
        <v>45772</v>
      </c>
      <c r="B738" s="270" t="s">
        <v>1541</v>
      </c>
      <c r="C738" s="270" t="s">
        <v>175</v>
      </c>
      <c r="D738" s="271" t="s">
        <v>117</v>
      </c>
      <c r="E738" s="272">
        <v>20000</v>
      </c>
      <c r="F738" s="272">
        <v>34.310672849449915</v>
      </c>
      <c r="G738" s="273">
        <v>582.90899999999999</v>
      </c>
      <c r="H738" s="274" t="s">
        <v>196</v>
      </c>
      <c r="I738" s="274" t="s">
        <v>1542</v>
      </c>
      <c r="J738" s="274" t="s">
        <v>98</v>
      </c>
      <c r="K738" s="287" t="s">
        <v>2150</v>
      </c>
      <c r="L738" s="274" t="s">
        <v>155</v>
      </c>
      <c r="M738" s="270"/>
      <c r="N738" s="270"/>
      <c r="O738" s="270"/>
    </row>
    <row r="739" spans="1:15" hidden="1">
      <c r="A739" s="269">
        <v>45772</v>
      </c>
      <c r="B739" s="270" t="s">
        <v>1543</v>
      </c>
      <c r="C739" s="276" t="s">
        <v>179</v>
      </c>
      <c r="D739" s="271" t="s">
        <v>117</v>
      </c>
      <c r="E739" s="272">
        <v>50000</v>
      </c>
      <c r="F739" s="272">
        <v>85.776682123624781</v>
      </c>
      <c r="G739" s="273">
        <v>582.90899999999999</v>
      </c>
      <c r="H739" s="274" t="s">
        <v>196</v>
      </c>
      <c r="I739" s="274" t="s">
        <v>1544</v>
      </c>
      <c r="J739" s="274" t="s">
        <v>98</v>
      </c>
      <c r="K739" s="287" t="s">
        <v>2150</v>
      </c>
      <c r="L739" s="274" t="s">
        <v>155</v>
      </c>
      <c r="M739" s="270"/>
      <c r="N739" s="270"/>
      <c r="O739" s="270"/>
    </row>
    <row r="740" spans="1:15" hidden="1">
      <c r="A740" s="269">
        <v>45772</v>
      </c>
      <c r="B740" s="270" t="s">
        <v>1545</v>
      </c>
      <c r="C740" s="270" t="s">
        <v>175</v>
      </c>
      <c r="D740" s="271" t="s">
        <v>117</v>
      </c>
      <c r="E740" s="272">
        <v>20000</v>
      </c>
      <c r="F740" s="272">
        <v>34.310672849449915</v>
      </c>
      <c r="G740" s="273">
        <v>582.90899999999999</v>
      </c>
      <c r="H740" s="274" t="s">
        <v>196</v>
      </c>
      <c r="I740" s="274" t="s">
        <v>1546</v>
      </c>
      <c r="J740" s="274" t="s">
        <v>98</v>
      </c>
      <c r="K740" s="287" t="s">
        <v>2150</v>
      </c>
      <c r="L740" s="274" t="s">
        <v>155</v>
      </c>
      <c r="M740" s="270"/>
      <c r="N740" s="270"/>
      <c r="O740" s="270"/>
    </row>
    <row r="741" spans="1:15" hidden="1">
      <c r="A741" s="269">
        <v>45772</v>
      </c>
      <c r="B741" s="270" t="s">
        <v>1547</v>
      </c>
      <c r="C741" s="276" t="s">
        <v>179</v>
      </c>
      <c r="D741" s="271" t="s">
        <v>117</v>
      </c>
      <c r="E741" s="272">
        <v>50000</v>
      </c>
      <c r="F741" s="272">
        <v>85.776682123624781</v>
      </c>
      <c r="G741" s="273">
        <v>582.90899999999999</v>
      </c>
      <c r="H741" s="274" t="s">
        <v>196</v>
      </c>
      <c r="I741" s="274" t="s">
        <v>1548</v>
      </c>
      <c r="J741" s="274" t="s">
        <v>98</v>
      </c>
      <c r="K741" s="287" t="s">
        <v>2150</v>
      </c>
      <c r="L741" s="274" t="s">
        <v>155</v>
      </c>
      <c r="M741" s="270"/>
      <c r="N741" s="270"/>
      <c r="O741" s="270"/>
    </row>
    <row r="742" spans="1:15" hidden="1">
      <c r="A742" s="269">
        <v>45772</v>
      </c>
      <c r="B742" s="270" t="s">
        <v>911</v>
      </c>
      <c r="C742" s="277" t="s">
        <v>2342</v>
      </c>
      <c r="D742" s="270" t="s">
        <v>118</v>
      </c>
      <c r="E742" s="272">
        <v>3253</v>
      </c>
      <c r="F742" s="272">
        <v>5.5806309389630284</v>
      </c>
      <c r="G742" s="273">
        <v>582.90899999999999</v>
      </c>
      <c r="H742" s="274" t="s">
        <v>196</v>
      </c>
      <c r="I742" s="274" t="s">
        <v>1549</v>
      </c>
      <c r="J742" s="274" t="s">
        <v>98</v>
      </c>
      <c r="K742" s="287" t="s">
        <v>2150</v>
      </c>
      <c r="L742" s="274" t="s">
        <v>155</v>
      </c>
      <c r="M742" s="270"/>
      <c r="N742" s="270"/>
      <c r="O742" s="270"/>
    </row>
    <row r="743" spans="1:15" hidden="1">
      <c r="A743" s="269">
        <v>45772</v>
      </c>
      <c r="B743" s="270" t="s">
        <v>1682</v>
      </c>
      <c r="C743" s="270" t="s">
        <v>127</v>
      </c>
      <c r="D743" s="270" t="s">
        <v>119</v>
      </c>
      <c r="E743" s="272">
        <v>1311000</v>
      </c>
      <c r="F743" s="272">
        <v>2249.0646052814418</v>
      </c>
      <c r="G743" s="273">
        <v>582.90899999999999</v>
      </c>
      <c r="H743" s="274" t="s">
        <v>148</v>
      </c>
      <c r="I743" s="274" t="s">
        <v>1633</v>
      </c>
      <c r="J743" s="274" t="s">
        <v>98</v>
      </c>
      <c r="K743" s="287" t="s">
        <v>2150</v>
      </c>
      <c r="L743" s="274" t="s">
        <v>155</v>
      </c>
      <c r="M743" s="270"/>
      <c r="N743" s="270"/>
      <c r="O743" s="270"/>
    </row>
    <row r="744" spans="1:15" hidden="1">
      <c r="A744" s="269">
        <v>45772</v>
      </c>
      <c r="B744" s="270" t="s">
        <v>1683</v>
      </c>
      <c r="C744" s="270" t="s">
        <v>127</v>
      </c>
      <c r="D744" s="270" t="s">
        <v>118</v>
      </c>
      <c r="E744" s="272">
        <v>230000</v>
      </c>
      <c r="F744" s="272">
        <v>394.57273776867402</v>
      </c>
      <c r="G744" s="273">
        <v>582.90899999999999</v>
      </c>
      <c r="H744" s="274" t="s">
        <v>148</v>
      </c>
      <c r="I744" s="274" t="s">
        <v>1634</v>
      </c>
      <c r="J744" s="274" t="s">
        <v>98</v>
      </c>
      <c r="K744" s="287" t="s">
        <v>2150</v>
      </c>
      <c r="L744" s="274" t="s">
        <v>155</v>
      </c>
      <c r="M744" s="270"/>
      <c r="N744" s="270"/>
      <c r="O744" s="270"/>
    </row>
    <row r="745" spans="1:15" hidden="1">
      <c r="A745" s="269">
        <v>45772</v>
      </c>
      <c r="B745" s="270" t="s">
        <v>1684</v>
      </c>
      <c r="C745" s="270" t="s">
        <v>127</v>
      </c>
      <c r="D745" s="271" t="s">
        <v>117</v>
      </c>
      <c r="E745" s="272">
        <v>200000</v>
      </c>
      <c r="F745" s="272">
        <v>343.10672849449912</v>
      </c>
      <c r="G745" s="273">
        <v>582.90899999999999</v>
      </c>
      <c r="H745" s="274" t="s">
        <v>148</v>
      </c>
      <c r="I745" s="274" t="s">
        <v>1636</v>
      </c>
      <c r="J745" s="274" t="s">
        <v>98</v>
      </c>
      <c r="K745" s="287" t="s">
        <v>2150</v>
      </c>
      <c r="L745" s="274" t="s">
        <v>155</v>
      </c>
      <c r="M745" s="270"/>
      <c r="N745" s="270"/>
      <c r="O745" s="270"/>
    </row>
    <row r="746" spans="1:15" hidden="1">
      <c r="A746" s="269">
        <v>45772</v>
      </c>
      <c r="B746" s="270" t="s">
        <v>1647</v>
      </c>
      <c r="C746" s="270" t="s">
        <v>127</v>
      </c>
      <c r="D746" s="271" t="s">
        <v>117</v>
      </c>
      <c r="E746" s="272">
        <v>200000</v>
      </c>
      <c r="F746" s="272">
        <v>343.10672849449912</v>
      </c>
      <c r="G746" s="273">
        <v>582.90899999999999</v>
      </c>
      <c r="H746" s="274" t="s">
        <v>148</v>
      </c>
      <c r="I746" s="274" t="s">
        <v>1637</v>
      </c>
      <c r="J746" s="274" t="s">
        <v>98</v>
      </c>
      <c r="K746" s="287" t="s">
        <v>2150</v>
      </c>
      <c r="L746" s="274" t="s">
        <v>155</v>
      </c>
      <c r="M746" s="270"/>
      <c r="N746" s="270"/>
      <c r="O746" s="270"/>
    </row>
    <row r="747" spans="1:15" hidden="1">
      <c r="A747" s="269">
        <v>45772</v>
      </c>
      <c r="B747" s="270" t="s">
        <v>1612</v>
      </c>
      <c r="C747" s="270" t="s">
        <v>127</v>
      </c>
      <c r="D747" s="271" t="s">
        <v>117</v>
      </c>
      <c r="E747" s="272">
        <v>551482</v>
      </c>
      <c r="F747" s="272">
        <v>946.08592421801688</v>
      </c>
      <c r="G747" s="273">
        <v>582.90899999999999</v>
      </c>
      <c r="H747" s="274" t="s">
        <v>148</v>
      </c>
      <c r="I747" s="274" t="s">
        <v>1638</v>
      </c>
      <c r="J747" s="274" t="s">
        <v>98</v>
      </c>
      <c r="K747" s="287" t="s">
        <v>2150</v>
      </c>
      <c r="L747" s="274" t="s">
        <v>155</v>
      </c>
      <c r="M747" s="270"/>
      <c r="N747" s="270"/>
      <c r="O747" s="270"/>
    </row>
    <row r="748" spans="1:15" hidden="1">
      <c r="A748" s="269">
        <v>45772</v>
      </c>
      <c r="B748" s="270" t="s">
        <v>1614</v>
      </c>
      <c r="C748" s="270" t="s">
        <v>127</v>
      </c>
      <c r="D748" s="271" t="s">
        <v>117</v>
      </c>
      <c r="E748" s="272">
        <v>300000</v>
      </c>
      <c r="F748" s="272">
        <v>514.66009274174871</v>
      </c>
      <c r="G748" s="273">
        <v>582.90899999999999</v>
      </c>
      <c r="H748" s="274" t="s">
        <v>148</v>
      </c>
      <c r="I748" s="274" t="s">
        <v>1640</v>
      </c>
      <c r="J748" s="274" t="s">
        <v>98</v>
      </c>
      <c r="K748" s="287" t="s">
        <v>2150</v>
      </c>
      <c r="L748" s="274" t="s">
        <v>155</v>
      </c>
      <c r="M748" s="270"/>
      <c r="N748" s="270"/>
      <c r="O748" s="270"/>
    </row>
    <row r="749" spans="1:15" hidden="1">
      <c r="A749" s="269">
        <v>45772</v>
      </c>
      <c r="B749" s="270" t="s">
        <v>1662</v>
      </c>
      <c r="C749" s="270" t="s">
        <v>128</v>
      </c>
      <c r="D749" s="270" t="s">
        <v>118</v>
      </c>
      <c r="E749" s="272">
        <v>10665</v>
      </c>
      <c r="F749" s="272">
        <v>18.296166296969169</v>
      </c>
      <c r="G749" s="273">
        <v>582.90899999999999</v>
      </c>
      <c r="H749" s="274" t="s">
        <v>148</v>
      </c>
      <c r="I749" s="274" t="s">
        <v>1644</v>
      </c>
      <c r="J749" s="274" t="s">
        <v>98</v>
      </c>
      <c r="K749" s="287" t="s">
        <v>2150</v>
      </c>
      <c r="L749" s="274" t="s">
        <v>155</v>
      </c>
      <c r="M749" s="270"/>
      <c r="N749" s="270"/>
      <c r="O749" s="270"/>
    </row>
    <row r="750" spans="1:15" hidden="1">
      <c r="A750" s="269">
        <v>45773</v>
      </c>
      <c r="B750" s="270" t="s">
        <v>1513</v>
      </c>
      <c r="C750" s="270" t="s">
        <v>175</v>
      </c>
      <c r="D750" s="271" t="s">
        <v>117</v>
      </c>
      <c r="E750" s="272">
        <v>7000</v>
      </c>
      <c r="F750" s="272">
        <v>12.00873549730747</v>
      </c>
      <c r="G750" s="273">
        <v>582.90899999999999</v>
      </c>
      <c r="H750" s="274" t="s">
        <v>196</v>
      </c>
      <c r="I750" s="274" t="s">
        <v>1550</v>
      </c>
      <c r="J750" s="274" t="s">
        <v>98</v>
      </c>
      <c r="K750" s="287" t="s">
        <v>2150</v>
      </c>
      <c r="L750" s="274" t="s">
        <v>155</v>
      </c>
      <c r="M750" s="270"/>
      <c r="N750" s="270"/>
      <c r="O750" s="270"/>
    </row>
    <row r="751" spans="1:15" hidden="1">
      <c r="A751" s="269">
        <v>45774</v>
      </c>
      <c r="B751" s="270" t="s">
        <v>1574</v>
      </c>
      <c r="C751" s="270" t="s">
        <v>199</v>
      </c>
      <c r="D751" s="271" t="s">
        <v>117</v>
      </c>
      <c r="E751" s="272">
        <v>7000</v>
      </c>
      <c r="F751" s="272">
        <v>12.00873549730747</v>
      </c>
      <c r="G751" s="273">
        <v>582.90899999999999</v>
      </c>
      <c r="H751" s="274" t="s">
        <v>497</v>
      </c>
      <c r="I751" s="274" t="s">
        <v>1575</v>
      </c>
      <c r="J751" s="274" t="s">
        <v>98</v>
      </c>
      <c r="K751" s="287" t="s">
        <v>2150</v>
      </c>
      <c r="L751" s="274" t="s">
        <v>155</v>
      </c>
      <c r="M751" s="270"/>
      <c r="N751" s="270"/>
      <c r="O751" s="270"/>
    </row>
    <row r="752" spans="1:15" hidden="1">
      <c r="A752" s="269">
        <v>45775</v>
      </c>
      <c r="B752" s="270" t="s">
        <v>1615</v>
      </c>
      <c r="C752" s="276" t="s">
        <v>126</v>
      </c>
      <c r="D752" s="270" t="s">
        <v>118</v>
      </c>
      <c r="E752" s="272">
        <v>500000</v>
      </c>
      <c r="F752" s="272">
        <v>857.76682123624789</v>
      </c>
      <c r="G752" s="273">
        <v>582.90899999999999</v>
      </c>
      <c r="H752" s="274" t="s">
        <v>148</v>
      </c>
      <c r="I752" s="274" t="s">
        <v>1644</v>
      </c>
      <c r="J752" s="274" t="s">
        <v>98</v>
      </c>
      <c r="K752" s="287" t="s">
        <v>2150</v>
      </c>
      <c r="L752" s="274" t="s">
        <v>155</v>
      </c>
      <c r="M752" s="270"/>
      <c r="N752" s="270"/>
      <c r="O752" s="270"/>
    </row>
    <row r="753" spans="1:15" hidden="1">
      <c r="A753" s="269">
        <v>45775</v>
      </c>
      <c r="B753" s="270" t="s">
        <v>1405</v>
      </c>
      <c r="C753" s="270" t="s">
        <v>317</v>
      </c>
      <c r="D753" s="270" t="s">
        <v>118</v>
      </c>
      <c r="E753" s="272">
        <v>20000</v>
      </c>
      <c r="F753" s="272">
        <v>34.310672849449915</v>
      </c>
      <c r="G753" s="273">
        <v>582.90899999999999</v>
      </c>
      <c r="H753" s="274" t="s">
        <v>643</v>
      </c>
      <c r="I753" s="274" t="s">
        <v>1406</v>
      </c>
      <c r="J753" s="274" t="s">
        <v>98</v>
      </c>
      <c r="K753" s="287" t="s">
        <v>2150</v>
      </c>
      <c r="L753" s="274" t="s">
        <v>155</v>
      </c>
      <c r="M753" s="270"/>
      <c r="N753" s="270"/>
      <c r="O753" s="270"/>
    </row>
    <row r="754" spans="1:15" hidden="1">
      <c r="A754" s="269">
        <v>45775</v>
      </c>
      <c r="B754" s="270" t="s">
        <v>2148</v>
      </c>
      <c r="C754" s="270" t="s">
        <v>317</v>
      </c>
      <c r="D754" s="270" t="s">
        <v>118</v>
      </c>
      <c r="E754" s="272">
        <v>75625</v>
      </c>
      <c r="F754" s="272">
        <v>129.7372317119825</v>
      </c>
      <c r="G754" s="273">
        <v>582.90899999999999</v>
      </c>
      <c r="H754" s="274" t="s">
        <v>643</v>
      </c>
      <c r="I754" s="274" t="s">
        <v>1407</v>
      </c>
      <c r="J754" s="274" t="s">
        <v>98</v>
      </c>
      <c r="K754" s="287" t="s">
        <v>2150</v>
      </c>
      <c r="L754" s="274" t="s">
        <v>155</v>
      </c>
      <c r="M754" s="270"/>
      <c r="N754" s="270"/>
      <c r="O754" s="270"/>
    </row>
    <row r="755" spans="1:15" hidden="1">
      <c r="A755" s="269">
        <v>45775</v>
      </c>
      <c r="B755" s="270" t="s">
        <v>1678</v>
      </c>
      <c r="C755" s="276" t="s">
        <v>179</v>
      </c>
      <c r="D755" s="271" t="s">
        <v>117</v>
      </c>
      <c r="E755" s="272">
        <v>20000</v>
      </c>
      <c r="F755" s="272">
        <v>34.310672849449915</v>
      </c>
      <c r="G755" s="273">
        <v>582.90899999999999</v>
      </c>
      <c r="H755" s="274" t="s">
        <v>196</v>
      </c>
      <c r="I755" s="274" t="s">
        <v>1551</v>
      </c>
      <c r="J755" s="274" t="s">
        <v>98</v>
      </c>
      <c r="K755" s="287" t="s">
        <v>2150</v>
      </c>
      <c r="L755" s="274" t="s">
        <v>155</v>
      </c>
      <c r="M755" s="270"/>
      <c r="N755" s="270"/>
      <c r="O755" s="270"/>
    </row>
    <row r="756" spans="1:15" hidden="1">
      <c r="A756" s="269">
        <v>45775</v>
      </c>
      <c r="B756" s="270" t="s">
        <v>1576</v>
      </c>
      <c r="C756" s="276" t="s">
        <v>179</v>
      </c>
      <c r="D756" s="271" t="s">
        <v>117</v>
      </c>
      <c r="E756" s="272">
        <v>20000</v>
      </c>
      <c r="F756" s="272">
        <v>34.310672849449915</v>
      </c>
      <c r="G756" s="273">
        <v>582.90899999999999</v>
      </c>
      <c r="H756" s="274" t="s">
        <v>497</v>
      </c>
      <c r="I756" s="274" t="s">
        <v>1577</v>
      </c>
      <c r="J756" s="274" t="s">
        <v>98</v>
      </c>
      <c r="K756" s="287" t="s">
        <v>2150</v>
      </c>
      <c r="L756" s="274" t="s">
        <v>155</v>
      </c>
      <c r="M756" s="270"/>
      <c r="N756" s="270"/>
      <c r="O756" s="270"/>
    </row>
    <row r="757" spans="1:15" hidden="1">
      <c r="A757" s="269">
        <v>45775</v>
      </c>
      <c r="B757" s="270" t="s">
        <v>1590</v>
      </c>
      <c r="C757" s="270" t="s">
        <v>175</v>
      </c>
      <c r="D757" s="270" t="s">
        <v>120</v>
      </c>
      <c r="E757" s="272">
        <v>41900</v>
      </c>
      <c r="F757" s="272">
        <v>71.880859619597572</v>
      </c>
      <c r="G757" s="273">
        <v>582.90899999999999</v>
      </c>
      <c r="H757" s="274" t="s">
        <v>217</v>
      </c>
      <c r="I757" s="274" t="s">
        <v>1591</v>
      </c>
      <c r="J757" s="274" t="s">
        <v>98</v>
      </c>
      <c r="K757" s="287" t="s">
        <v>2150</v>
      </c>
      <c r="L757" s="274" t="s">
        <v>155</v>
      </c>
      <c r="M757" s="270"/>
      <c r="N757" s="270"/>
      <c r="O757" s="270"/>
    </row>
    <row r="758" spans="1:15" hidden="1">
      <c r="A758" s="269">
        <v>45775</v>
      </c>
      <c r="B758" s="270" t="s">
        <v>1596</v>
      </c>
      <c r="C758" s="276" t="s">
        <v>2344</v>
      </c>
      <c r="D758" s="270" t="s">
        <v>120</v>
      </c>
      <c r="E758" s="272">
        <v>144000</v>
      </c>
      <c r="F758" s="272">
        <v>247.03684451603939</v>
      </c>
      <c r="G758" s="273">
        <v>582.90899999999999</v>
      </c>
      <c r="H758" s="274" t="s">
        <v>217</v>
      </c>
      <c r="I758" s="274" t="s">
        <v>1597</v>
      </c>
      <c r="J758" s="274" t="s">
        <v>98</v>
      </c>
      <c r="K758" s="287" t="s">
        <v>2150</v>
      </c>
      <c r="L758" s="274" t="s">
        <v>155</v>
      </c>
      <c r="M758" s="270"/>
      <c r="N758" s="270"/>
      <c r="O758" s="270"/>
    </row>
    <row r="759" spans="1:15" hidden="1">
      <c r="A759" s="269">
        <v>45775</v>
      </c>
      <c r="B759" s="270" t="s">
        <v>1598</v>
      </c>
      <c r="C759" s="291" t="s">
        <v>2351</v>
      </c>
      <c r="D759" s="270" t="s">
        <v>118</v>
      </c>
      <c r="E759" s="272">
        <v>27000</v>
      </c>
      <c r="F759" s="272">
        <v>46.319408346757385</v>
      </c>
      <c r="G759" s="273">
        <v>582.90899999999999</v>
      </c>
      <c r="H759" s="274" t="s">
        <v>217</v>
      </c>
      <c r="I759" s="274" t="s">
        <v>1599</v>
      </c>
      <c r="J759" s="274" t="s">
        <v>98</v>
      </c>
      <c r="K759" s="287" t="s">
        <v>2150</v>
      </c>
      <c r="L759" s="274" t="s">
        <v>155</v>
      </c>
      <c r="M759" s="270"/>
      <c r="N759" s="270"/>
      <c r="O759" s="270"/>
    </row>
    <row r="760" spans="1:15" hidden="1">
      <c r="A760" s="269">
        <v>45776</v>
      </c>
      <c r="B760" s="270" t="s">
        <v>1471</v>
      </c>
      <c r="C760" s="270" t="s">
        <v>175</v>
      </c>
      <c r="D760" s="271" t="s">
        <v>502</v>
      </c>
      <c r="E760" s="272">
        <v>59500</v>
      </c>
      <c r="F760" s="272">
        <v>102.07425172711349</v>
      </c>
      <c r="G760" s="273">
        <v>582.90899999999999</v>
      </c>
      <c r="H760" s="274" t="s">
        <v>343</v>
      </c>
      <c r="I760" s="274" t="s">
        <v>1472</v>
      </c>
      <c r="J760" s="274" t="s">
        <v>98</v>
      </c>
      <c r="K760" s="287" t="s">
        <v>2150</v>
      </c>
      <c r="L760" s="274" t="s">
        <v>155</v>
      </c>
      <c r="M760" s="270"/>
      <c r="N760" s="270"/>
      <c r="O760" s="270"/>
    </row>
    <row r="761" spans="1:15" hidden="1">
      <c r="A761" s="269">
        <v>45776</v>
      </c>
      <c r="B761" s="270" t="s">
        <v>1687</v>
      </c>
      <c r="C761" s="270" t="s">
        <v>1552</v>
      </c>
      <c r="D761" s="271" t="s">
        <v>117</v>
      </c>
      <c r="E761" s="272">
        <v>40000</v>
      </c>
      <c r="F761" s="272">
        <v>68.62134569889983</v>
      </c>
      <c r="G761" s="273">
        <v>582.90899999999999</v>
      </c>
      <c r="H761" s="274" t="s">
        <v>196</v>
      </c>
      <c r="I761" s="274" t="s">
        <v>1553</v>
      </c>
      <c r="J761" s="274" t="s">
        <v>98</v>
      </c>
      <c r="K761" s="287" t="s">
        <v>2150</v>
      </c>
      <c r="L761" s="274" t="s">
        <v>155</v>
      </c>
      <c r="M761" s="270"/>
      <c r="N761" s="270"/>
      <c r="O761" s="270"/>
    </row>
    <row r="762" spans="1:15" hidden="1">
      <c r="A762" s="269">
        <v>45776</v>
      </c>
      <c r="B762" s="270" t="s">
        <v>1688</v>
      </c>
      <c r="C762" s="270" t="s">
        <v>175</v>
      </c>
      <c r="D762" s="271" t="s">
        <v>117</v>
      </c>
      <c r="E762" s="272">
        <v>7000</v>
      </c>
      <c r="F762" s="272">
        <v>12.00873549730747</v>
      </c>
      <c r="G762" s="273">
        <v>582.90899999999999</v>
      </c>
      <c r="H762" s="274" t="s">
        <v>196</v>
      </c>
      <c r="I762" s="274" t="s">
        <v>1554</v>
      </c>
      <c r="J762" s="274" t="s">
        <v>98</v>
      </c>
      <c r="K762" s="287" t="s">
        <v>2150</v>
      </c>
      <c r="L762" s="274" t="s">
        <v>155</v>
      </c>
      <c r="M762" s="270"/>
      <c r="N762" s="270"/>
      <c r="O762" s="270"/>
    </row>
    <row r="763" spans="1:15" hidden="1">
      <c r="A763" s="269">
        <v>45776</v>
      </c>
      <c r="B763" s="270" t="s">
        <v>1679</v>
      </c>
      <c r="C763" s="276" t="s">
        <v>179</v>
      </c>
      <c r="D763" s="271" t="s">
        <v>117</v>
      </c>
      <c r="E763" s="272">
        <v>30000</v>
      </c>
      <c r="F763" s="272">
        <v>51.466009274174873</v>
      </c>
      <c r="G763" s="273">
        <v>582.90899999999999</v>
      </c>
      <c r="H763" s="274" t="s">
        <v>196</v>
      </c>
      <c r="I763" s="274" t="s">
        <v>1555</v>
      </c>
      <c r="J763" s="274" t="s">
        <v>98</v>
      </c>
      <c r="K763" s="287" t="s">
        <v>2150</v>
      </c>
      <c r="L763" s="274" t="s">
        <v>155</v>
      </c>
      <c r="M763" s="270"/>
      <c r="N763" s="270"/>
      <c r="O763" s="270"/>
    </row>
    <row r="764" spans="1:15" hidden="1">
      <c r="A764" s="269">
        <v>45776</v>
      </c>
      <c r="B764" s="270" t="s">
        <v>1613</v>
      </c>
      <c r="C764" s="270" t="s">
        <v>127</v>
      </c>
      <c r="D764" s="270" t="s">
        <v>120</v>
      </c>
      <c r="E764" s="272">
        <v>453388</v>
      </c>
      <c r="F764" s="272">
        <v>777.80236709331984</v>
      </c>
      <c r="G764" s="273">
        <v>582.90899999999999</v>
      </c>
      <c r="H764" s="274" t="s">
        <v>148</v>
      </c>
      <c r="I764" s="274" t="s">
        <v>1639</v>
      </c>
      <c r="J764" s="274" t="s">
        <v>98</v>
      </c>
      <c r="K764" s="287" t="s">
        <v>2150</v>
      </c>
      <c r="L764" s="274" t="s">
        <v>155</v>
      </c>
      <c r="M764" s="270"/>
      <c r="N764" s="270"/>
      <c r="O764" s="270"/>
    </row>
    <row r="765" spans="1:15" hidden="1">
      <c r="A765" s="289">
        <v>45777</v>
      </c>
      <c r="B765" s="270" t="s">
        <v>1578</v>
      </c>
      <c r="C765" s="270" t="s">
        <v>199</v>
      </c>
      <c r="D765" s="271" t="s">
        <v>117</v>
      </c>
      <c r="E765" s="272">
        <v>7000</v>
      </c>
      <c r="F765" s="272">
        <v>12.00873549730747</v>
      </c>
      <c r="G765" s="273">
        <v>582.90899999999999</v>
      </c>
      <c r="H765" s="274" t="s">
        <v>497</v>
      </c>
      <c r="I765" s="274" t="s">
        <v>1579</v>
      </c>
      <c r="J765" s="274" t="s">
        <v>98</v>
      </c>
      <c r="K765" s="287" t="s">
        <v>2150</v>
      </c>
      <c r="L765" s="274" t="s">
        <v>155</v>
      </c>
      <c r="M765" s="270"/>
      <c r="N765" s="270"/>
      <c r="O765" s="270"/>
    </row>
    <row r="766" spans="1:15" hidden="1">
      <c r="A766" s="269">
        <v>45777</v>
      </c>
      <c r="B766" s="270" t="s">
        <v>1324</v>
      </c>
      <c r="C766" s="270" t="s">
        <v>175</v>
      </c>
      <c r="D766" s="270" t="s">
        <v>119</v>
      </c>
      <c r="E766" s="272">
        <v>56000</v>
      </c>
      <c r="F766" s="272">
        <v>96.069883978459757</v>
      </c>
      <c r="G766" s="273">
        <v>582.90899999999999</v>
      </c>
      <c r="H766" s="274" t="s">
        <v>153</v>
      </c>
      <c r="I766" s="274" t="s">
        <v>1325</v>
      </c>
      <c r="J766" s="274" t="s">
        <v>98</v>
      </c>
      <c r="K766" s="287" t="s">
        <v>2150</v>
      </c>
      <c r="L766" s="274" t="s">
        <v>155</v>
      </c>
      <c r="M766" s="270"/>
      <c r="N766" s="270"/>
      <c r="O766" s="270"/>
    </row>
    <row r="767" spans="1:15" hidden="1">
      <c r="A767" s="269">
        <v>45777</v>
      </c>
      <c r="B767" s="270" t="s">
        <v>1339</v>
      </c>
      <c r="C767" s="270" t="s">
        <v>175</v>
      </c>
      <c r="D767" s="271" t="s">
        <v>117</v>
      </c>
      <c r="E767" s="272">
        <v>21200</v>
      </c>
      <c r="F767" s="272">
        <v>36.369313220416906</v>
      </c>
      <c r="G767" s="273">
        <v>582.90899999999999</v>
      </c>
      <c r="H767" s="274" t="s">
        <v>203</v>
      </c>
      <c r="I767" s="274" t="s">
        <v>1338</v>
      </c>
      <c r="J767" s="274" t="s">
        <v>98</v>
      </c>
      <c r="K767" s="287" t="s">
        <v>2150</v>
      </c>
      <c r="L767" s="274" t="s">
        <v>155</v>
      </c>
      <c r="M767" s="270"/>
      <c r="N767" s="270"/>
      <c r="O767" s="270"/>
    </row>
    <row r="768" spans="1:15" hidden="1">
      <c r="A768" s="269">
        <v>45777</v>
      </c>
      <c r="B768" s="270" t="s">
        <v>1408</v>
      </c>
      <c r="C768" s="270" t="s">
        <v>175</v>
      </c>
      <c r="D768" s="270" t="s">
        <v>118</v>
      </c>
      <c r="E768" s="272">
        <v>40500</v>
      </c>
      <c r="F768" s="272">
        <v>69.479112520136084</v>
      </c>
      <c r="G768" s="273">
        <v>582.90899999999999</v>
      </c>
      <c r="H768" s="274" t="s">
        <v>643</v>
      </c>
      <c r="I768" s="274" t="s">
        <v>1409</v>
      </c>
      <c r="J768" s="274" t="s">
        <v>98</v>
      </c>
      <c r="K768" s="287" t="s">
        <v>2150</v>
      </c>
      <c r="L768" s="274" t="s">
        <v>155</v>
      </c>
      <c r="M768" s="270"/>
      <c r="N768" s="270"/>
      <c r="O768" s="270"/>
    </row>
    <row r="769" spans="1:15" hidden="1">
      <c r="A769" s="269">
        <v>45777</v>
      </c>
      <c r="B769" s="270" t="s">
        <v>1410</v>
      </c>
      <c r="C769" s="270" t="s">
        <v>686</v>
      </c>
      <c r="D769" s="270" t="s">
        <v>118</v>
      </c>
      <c r="E769" s="272">
        <v>45050</v>
      </c>
      <c r="F769" s="272">
        <v>77.284790593385935</v>
      </c>
      <c r="G769" s="273">
        <v>582.90899999999999</v>
      </c>
      <c r="H769" s="274" t="s">
        <v>643</v>
      </c>
      <c r="I769" s="274" t="s">
        <v>1411</v>
      </c>
      <c r="J769" s="274" t="s">
        <v>98</v>
      </c>
      <c r="K769" s="287" t="s">
        <v>2150</v>
      </c>
      <c r="L769" s="274" t="s">
        <v>155</v>
      </c>
      <c r="M769" s="270"/>
      <c r="N769" s="270"/>
      <c r="O769" s="270"/>
    </row>
    <row r="770" spans="1:15" hidden="1">
      <c r="A770" s="269">
        <v>45777</v>
      </c>
      <c r="B770" s="270" t="s">
        <v>1412</v>
      </c>
      <c r="C770" s="270" t="s">
        <v>127</v>
      </c>
      <c r="D770" s="271" t="s">
        <v>1110</v>
      </c>
      <c r="E770" s="272">
        <v>199400</v>
      </c>
      <c r="F770" s="272">
        <v>342.07740830901565</v>
      </c>
      <c r="G770" s="273">
        <v>582.90899999999999</v>
      </c>
      <c r="H770" s="274" t="s">
        <v>643</v>
      </c>
      <c r="I770" s="274" t="s">
        <v>1413</v>
      </c>
      <c r="J770" s="274" t="s">
        <v>98</v>
      </c>
      <c r="K770" s="287" t="s">
        <v>2150</v>
      </c>
      <c r="L770" s="274" t="s">
        <v>155</v>
      </c>
      <c r="M770" s="270"/>
      <c r="N770" s="270"/>
      <c r="O770" s="270"/>
    </row>
    <row r="771" spans="1:15" hidden="1">
      <c r="A771" s="269">
        <v>45777</v>
      </c>
      <c r="B771" s="270" t="s">
        <v>1433</v>
      </c>
      <c r="C771" s="270" t="s">
        <v>175</v>
      </c>
      <c r="D771" s="271" t="s">
        <v>502</v>
      </c>
      <c r="E771" s="272">
        <v>72100</v>
      </c>
      <c r="F771" s="272">
        <v>123.68997562226694</v>
      </c>
      <c r="G771" s="273">
        <v>582.90899999999999</v>
      </c>
      <c r="H771" s="274" t="s">
        <v>176</v>
      </c>
      <c r="I771" s="274" t="s">
        <v>1434</v>
      </c>
      <c r="J771" s="274" t="s">
        <v>98</v>
      </c>
      <c r="K771" s="287" t="s">
        <v>2150</v>
      </c>
      <c r="L771" s="274" t="s">
        <v>155</v>
      </c>
      <c r="M771" s="270"/>
      <c r="N771" s="270"/>
      <c r="O771" s="270"/>
    </row>
    <row r="772" spans="1:15" hidden="1">
      <c r="A772" s="269">
        <v>45777</v>
      </c>
      <c r="B772" s="270" t="s">
        <v>1556</v>
      </c>
      <c r="C772" s="270" t="s">
        <v>175</v>
      </c>
      <c r="D772" s="271" t="s">
        <v>117</v>
      </c>
      <c r="E772" s="272">
        <v>46800</v>
      </c>
      <c r="F772" s="272">
        <v>80.286974467712795</v>
      </c>
      <c r="G772" s="273">
        <v>582.90899999999999</v>
      </c>
      <c r="H772" s="274" t="s">
        <v>196</v>
      </c>
      <c r="I772" s="274" t="s">
        <v>1557</v>
      </c>
      <c r="J772" s="274" t="s">
        <v>98</v>
      </c>
      <c r="K772" s="287" t="s">
        <v>2150</v>
      </c>
      <c r="L772" s="274" t="s">
        <v>155</v>
      </c>
      <c r="M772" s="270"/>
      <c r="N772" s="270"/>
      <c r="O772" s="270"/>
    </row>
    <row r="773" spans="1:15" hidden="1">
      <c r="A773" s="269">
        <v>45777</v>
      </c>
      <c r="B773" s="270" t="s">
        <v>1580</v>
      </c>
      <c r="C773" s="276" t="s">
        <v>179</v>
      </c>
      <c r="D773" s="271" t="s">
        <v>117</v>
      </c>
      <c r="E773" s="272">
        <v>30000</v>
      </c>
      <c r="F773" s="272">
        <v>51.466009274174873</v>
      </c>
      <c r="G773" s="273">
        <v>582.90899999999999</v>
      </c>
      <c r="H773" s="274" t="s">
        <v>497</v>
      </c>
      <c r="I773" s="274" t="s">
        <v>1581</v>
      </c>
      <c r="J773" s="274" t="s">
        <v>98</v>
      </c>
      <c r="K773" s="287" t="s">
        <v>2150</v>
      </c>
      <c r="L773" s="274" t="s">
        <v>155</v>
      </c>
      <c r="M773" s="270"/>
      <c r="N773" s="270"/>
      <c r="O773" s="270"/>
    </row>
    <row r="774" spans="1:15" hidden="1">
      <c r="A774" s="269">
        <v>45777</v>
      </c>
      <c r="B774" s="270" t="s">
        <v>1582</v>
      </c>
      <c r="C774" s="270" t="s">
        <v>199</v>
      </c>
      <c r="D774" s="271" t="s">
        <v>117</v>
      </c>
      <c r="E774" s="272">
        <v>30000</v>
      </c>
      <c r="F774" s="272">
        <v>51.466009274174873</v>
      </c>
      <c r="G774" s="273">
        <v>582.90899999999999</v>
      </c>
      <c r="H774" s="274" t="s">
        <v>497</v>
      </c>
      <c r="I774" s="274" t="s">
        <v>1583</v>
      </c>
      <c r="J774" s="274" t="s">
        <v>98</v>
      </c>
      <c r="K774" s="287" t="s">
        <v>2150</v>
      </c>
      <c r="L774" s="274" t="s">
        <v>155</v>
      </c>
      <c r="M774" s="270"/>
      <c r="N774" s="270"/>
      <c r="O774" s="270"/>
    </row>
    <row r="775" spans="1:15" hidden="1">
      <c r="A775" s="269">
        <v>45777</v>
      </c>
      <c r="B775" s="270" t="s">
        <v>1616</v>
      </c>
      <c r="C775" s="270" t="s">
        <v>127</v>
      </c>
      <c r="D775" s="271" t="s">
        <v>502</v>
      </c>
      <c r="E775" s="272">
        <v>440000</v>
      </c>
      <c r="F775" s="272">
        <v>754.8348026878981</v>
      </c>
      <c r="G775" s="273">
        <v>582.90899999999999</v>
      </c>
      <c r="H775" s="274" t="s">
        <v>148</v>
      </c>
      <c r="I775" s="274" t="s">
        <v>1641</v>
      </c>
      <c r="J775" s="274" t="s">
        <v>98</v>
      </c>
      <c r="K775" s="287" t="s">
        <v>2150</v>
      </c>
      <c r="L775" s="274" t="s">
        <v>155</v>
      </c>
      <c r="M775" s="270"/>
      <c r="N775" s="270"/>
      <c r="O775" s="270"/>
    </row>
    <row r="776" spans="1:15" hidden="1">
      <c r="A776" s="269">
        <v>45777</v>
      </c>
      <c r="B776" s="270" t="s">
        <v>1617</v>
      </c>
      <c r="C776" s="270" t="s">
        <v>127</v>
      </c>
      <c r="D776" s="271" t="s">
        <v>502</v>
      </c>
      <c r="E776" s="272">
        <v>240000</v>
      </c>
      <c r="F776" s="272">
        <v>411.72807419339898</v>
      </c>
      <c r="G776" s="273">
        <v>582.90899999999999</v>
      </c>
      <c r="H776" s="274" t="s">
        <v>148</v>
      </c>
      <c r="I776" s="274" t="s">
        <v>1642</v>
      </c>
      <c r="J776" s="274" t="s">
        <v>98</v>
      </c>
      <c r="K776" s="287" t="s">
        <v>2150</v>
      </c>
      <c r="L776" s="274" t="s">
        <v>155</v>
      </c>
      <c r="M776" s="270"/>
      <c r="N776" s="270"/>
      <c r="O776" s="270"/>
    </row>
    <row r="777" spans="1:15" hidden="1">
      <c r="A777" s="269">
        <v>45777</v>
      </c>
      <c r="B777" s="270" t="s">
        <v>1618</v>
      </c>
      <c r="C777" s="270" t="s">
        <v>127</v>
      </c>
      <c r="D777" s="271" t="s">
        <v>502</v>
      </c>
      <c r="E777" s="272">
        <v>240000</v>
      </c>
      <c r="F777" s="272">
        <v>411.72807419339898</v>
      </c>
      <c r="G777" s="273">
        <v>582.90899999999999</v>
      </c>
      <c r="H777" s="274" t="s">
        <v>148</v>
      </c>
      <c r="I777" s="274" t="s">
        <v>1643</v>
      </c>
      <c r="J777" s="274" t="s">
        <v>98</v>
      </c>
      <c r="K777" s="287" t="s">
        <v>2150</v>
      </c>
      <c r="L777" s="274" t="s">
        <v>155</v>
      </c>
      <c r="M777" s="270"/>
      <c r="N777" s="270"/>
      <c r="O777" s="270"/>
    </row>
    <row r="778" spans="1:15" hidden="1">
      <c r="A778" s="269">
        <v>45778</v>
      </c>
      <c r="B778" s="270" t="s">
        <v>1745</v>
      </c>
      <c r="C778" s="276" t="s">
        <v>2344</v>
      </c>
      <c r="D778" s="270" t="s">
        <v>120</v>
      </c>
      <c r="E778" s="272">
        <v>124000</v>
      </c>
      <c r="F778" s="272">
        <v>213.92367065415789</v>
      </c>
      <c r="G778" s="282">
        <v>579.64599999999996</v>
      </c>
      <c r="H778" s="274" t="s">
        <v>217</v>
      </c>
      <c r="I778" s="279" t="s">
        <v>2070</v>
      </c>
      <c r="J778" s="274" t="s">
        <v>98</v>
      </c>
      <c r="K778" s="290" t="s">
        <v>205</v>
      </c>
      <c r="L778" s="274" t="s">
        <v>155</v>
      </c>
      <c r="M778" s="270"/>
      <c r="N778" s="270"/>
      <c r="O778" s="270"/>
    </row>
    <row r="779" spans="1:15" hidden="1">
      <c r="A779" s="269">
        <v>45780</v>
      </c>
      <c r="B779" s="270" t="s">
        <v>1795</v>
      </c>
      <c r="C779" s="270" t="s">
        <v>175</v>
      </c>
      <c r="D779" s="271" t="s">
        <v>502</v>
      </c>
      <c r="E779" s="272">
        <v>12000</v>
      </c>
      <c r="F779" s="272">
        <v>20.702290708466894</v>
      </c>
      <c r="G779" s="282">
        <v>579.64599999999996</v>
      </c>
      <c r="H779" s="274" t="s">
        <v>187</v>
      </c>
      <c r="I779" s="275" t="s">
        <v>1796</v>
      </c>
      <c r="J779" s="274" t="s">
        <v>98</v>
      </c>
      <c r="K779" s="290" t="s">
        <v>205</v>
      </c>
      <c r="L779" s="274" t="s">
        <v>155</v>
      </c>
      <c r="M779" s="270"/>
      <c r="N779" s="270"/>
      <c r="O779" s="270"/>
    </row>
    <row r="780" spans="1:15" hidden="1">
      <c r="A780" s="269">
        <v>45780</v>
      </c>
      <c r="B780" s="270" t="s">
        <v>1797</v>
      </c>
      <c r="C780" s="276" t="s">
        <v>179</v>
      </c>
      <c r="D780" s="271" t="s">
        <v>502</v>
      </c>
      <c r="E780" s="272">
        <v>70000</v>
      </c>
      <c r="F780" s="272">
        <v>120.76336246605688</v>
      </c>
      <c r="G780" s="282">
        <v>579.64599999999996</v>
      </c>
      <c r="H780" s="274" t="s">
        <v>187</v>
      </c>
      <c r="I780" s="275" t="s">
        <v>1798</v>
      </c>
      <c r="J780" s="274" t="s">
        <v>98</v>
      </c>
      <c r="K780" s="290" t="s">
        <v>205</v>
      </c>
      <c r="L780" s="274" t="s">
        <v>155</v>
      </c>
      <c r="M780" s="270"/>
      <c r="N780" s="270"/>
      <c r="O780" s="270"/>
    </row>
    <row r="781" spans="1:15" hidden="1">
      <c r="A781" s="269">
        <v>45780</v>
      </c>
      <c r="B781" s="270" t="s">
        <v>1843</v>
      </c>
      <c r="C781" s="270" t="s">
        <v>175</v>
      </c>
      <c r="D781" s="271" t="s">
        <v>502</v>
      </c>
      <c r="E781" s="272">
        <v>12000</v>
      </c>
      <c r="F781" s="272">
        <v>20.702290708466894</v>
      </c>
      <c r="G781" s="282">
        <v>579.64599999999996</v>
      </c>
      <c r="H781" s="274" t="s">
        <v>176</v>
      </c>
      <c r="I781" s="274" t="s">
        <v>1844</v>
      </c>
      <c r="J781" s="274" t="s">
        <v>98</v>
      </c>
      <c r="K781" s="290" t="s">
        <v>205</v>
      </c>
      <c r="L781" s="274" t="s">
        <v>155</v>
      </c>
      <c r="M781" s="270"/>
      <c r="N781" s="270"/>
      <c r="O781" s="270"/>
    </row>
    <row r="782" spans="1:15" hidden="1">
      <c r="A782" s="269">
        <v>45780</v>
      </c>
      <c r="B782" s="270" t="s">
        <v>1845</v>
      </c>
      <c r="C782" s="276" t="s">
        <v>179</v>
      </c>
      <c r="D782" s="271" t="s">
        <v>502</v>
      </c>
      <c r="E782" s="272">
        <v>70000</v>
      </c>
      <c r="F782" s="272">
        <v>120.76336246605688</v>
      </c>
      <c r="G782" s="282">
        <v>579.64599999999996</v>
      </c>
      <c r="H782" s="274" t="s">
        <v>176</v>
      </c>
      <c r="I782" s="274" t="s">
        <v>1846</v>
      </c>
      <c r="J782" s="274" t="s">
        <v>98</v>
      </c>
      <c r="K782" s="290" t="s">
        <v>205</v>
      </c>
      <c r="L782" s="274" t="s">
        <v>155</v>
      </c>
      <c r="M782" s="270"/>
      <c r="N782" s="270"/>
      <c r="O782" s="270"/>
    </row>
    <row r="783" spans="1:15" hidden="1">
      <c r="A783" s="269">
        <v>45780</v>
      </c>
      <c r="B783" s="270" t="s">
        <v>1886</v>
      </c>
      <c r="C783" s="270" t="s">
        <v>175</v>
      </c>
      <c r="D783" s="271" t="s">
        <v>502</v>
      </c>
      <c r="E783" s="272">
        <v>7000</v>
      </c>
      <c r="F783" s="272">
        <v>12.076336246605688</v>
      </c>
      <c r="G783" s="282">
        <v>579.64599999999996</v>
      </c>
      <c r="H783" s="274" t="s">
        <v>343</v>
      </c>
      <c r="I783" s="274" t="s">
        <v>1887</v>
      </c>
      <c r="J783" s="274" t="s">
        <v>98</v>
      </c>
      <c r="K783" s="290" t="s">
        <v>205</v>
      </c>
      <c r="L783" s="274" t="s">
        <v>155</v>
      </c>
      <c r="M783" s="270"/>
      <c r="N783" s="270"/>
      <c r="O783" s="270"/>
    </row>
    <row r="784" spans="1:15" hidden="1">
      <c r="A784" s="269">
        <v>45780</v>
      </c>
      <c r="B784" s="270" t="s">
        <v>1888</v>
      </c>
      <c r="C784" s="276" t="s">
        <v>179</v>
      </c>
      <c r="D784" s="271" t="s">
        <v>502</v>
      </c>
      <c r="E784" s="272">
        <v>70000</v>
      </c>
      <c r="F784" s="272">
        <v>120.76336246605688</v>
      </c>
      <c r="G784" s="282">
        <v>579.64599999999996</v>
      </c>
      <c r="H784" s="274" t="s">
        <v>343</v>
      </c>
      <c r="I784" s="274" t="s">
        <v>1889</v>
      </c>
      <c r="J784" s="274" t="s">
        <v>98</v>
      </c>
      <c r="K784" s="290" t="s">
        <v>205</v>
      </c>
      <c r="L784" s="274" t="s">
        <v>155</v>
      </c>
      <c r="M784" s="270"/>
      <c r="N784" s="270"/>
      <c r="O784" s="270"/>
    </row>
    <row r="785" spans="1:15" hidden="1">
      <c r="A785" s="269">
        <v>45780</v>
      </c>
      <c r="B785" s="270" t="s">
        <v>1890</v>
      </c>
      <c r="C785" s="270" t="s">
        <v>175</v>
      </c>
      <c r="D785" s="271" t="s">
        <v>502</v>
      </c>
      <c r="E785" s="272">
        <v>4000</v>
      </c>
      <c r="F785" s="272">
        <v>6.9007635694889649</v>
      </c>
      <c r="G785" s="282">
        <v>579.64599999999996</v>
      </c>
      <c r="H785" s="274" t="s">
        <v>343</v>
      </c>
      <c r="I785" s="274" t="s">
        <v>1891</v>
      </c>
      <c r="J785" s="274" t="s">
        <v>98</v>
      </c>
      <c r="K785" s="290" t="s">
        <v>205</v>
      </c>
      <c r="L785" s="274" t="s">
        <v>155</v>
      </c>
      <c r="M785" s="270"/>
      <c r="N785" s="270"/>
      <c r="O785" s="270"/>
    </row>
    <row r="786" spans="1:15" hidden="1">
      <c r="A786" s="269">
        <v>45782</v>
      </c>
      <c r="B786" s="270" t="s">
        <v>1711</v>
      </c>
      <c r="C786" s="270" t="s">
        <v>127</v>
      </c>
      <c r="D786" s="271" t="s">
        <v>117</v>
      </c>
      <c r="E786" s="272">
        <v>200000</v>
      </c>
      <c r="F786" s="272">
        <v>343.10696393911502</v>
      </c>
      <c r="G786" s="273">
        <v>582.90899999999999</v>
      </c>
      <c r="H786" s="274" t="s">
        <v>148</v>
      </c>
      <c r="I786" s="274" t="s">
        <v>2121</v>
      </c>
      <c r="J786" s="274" t="s">
        <v>98</v>
      </c>
      <c r="K786" s="287" t="s">
        <v>2150</v>
      </c>
      <c r="L786" s="292" t="s">
        <v>155</v>
      </c>
      <c r="M786" s="270"/>
      <c r="N786" s="270"/>
      <c r="O786" s="270"/>
    </row>
    <row r="787" spans="1:15" hidden="1">
      <c r="A787" s="269">
        <v>45782</v>
      </c>
      <c r="B787" s="270" t="s">
        <v>1764</v>
      </c>
      <c r="C787" s="270" t="s">
        <v>152</v>
      </c>
      <c r="D787" s="270" t="s">
        <v>119</v>
      </c>
      <c r="E787" s="272">
        <v>21000</v>
      </c>
      <c r="F787" s="272">
        <v>36.026231213607076</v>
      </c>
      <c r="G787" s="282">
        <v>579.64599999999996</v>
      </c>
      <c r="H787" s="274" t="s">
        <v>153</v>
      </c>
      <c r="I787" s="293" t="s">
        <v>1934</v>
      </c>
      <c r="J787" s="274" t="s">
        <v>98</v>
      </c>
      <c r="K787" s="290" t="s">
        <v>205</v>
      </c>
      <c r="L787" s="274" t="s">
        <v>155</v>
      </c>
      <c r="M787" s="270"/>
      <c r="N787" s="270"/>
      <c r="O787" s="270"/>
    </row>
    <row r="788" spans="1:15" hidden="1">
      <c r="A788" s="269">
        <v>45782</v>
      </c>
      <c r="B788" s="270" t="s">
        <v>1763</v>
      </c>
      <c r="C788" s="270" t="s">
        <v>152</v>
      </c>
      <c r="D788" s="271" t="s">
        <v>117</v>
      </c>
      <c r="E788" s="272">
        <v>16000</v>
      </c>
      <c r="F788" s="272">
        <v>27.448557115129201</v>
      </c>
      <c r="G788" s="282">
        <v>579.64599999999996</v>
      </c>
      <c r="H788" s="274" t="s">
        <v>203</v>
      </c>
      <c r="I788" s="275" t="s">
        <v>1942</v>
      </c>
      <c r="J788" s="274" t="s">
        <v>98</v>
      </c>
      <c r="K788" s="290" t="s">
        <v>205</v>
      </c>
      <c r="L788" s="274" t="s">
        <v>155</v>
      </c>
      <c r="M788" s="270"/>
      <c r="N788" s="270"/>
      <c r="O788" s="270"/>
    </row>
    <row r="789" spans="1:15" hidden="1">
      <c r="A789" s="269">
        <v>45782</v>
      </c>
      <c r="B789" s="270" t="s">
        <v>1766</v>
      </c>
      <c r="C789" s="270" t="s">
        <v>152</v>
      </c>
      <c r="D789" s="271" t="s">
        <v>117</v>
      </c>
      <c r="E789" s="272">
        <v>5000</v>
      </c>
      <c r="F789" s="272">
        <v>8.5776740984778748</v>
      </c>
      <c r="G789" s="282">
        <v>579.64599999999996</v>
      </c>
      <c r="H789" s="274" t="s">
        <v>203</v>
      </c>
      <c r="I789" s="275" t="s">
        <v>1943</v>
      </c>
      <c r="J789" s="274" t="s">
        <v>98</v>
      </c>
      <c r="K789" s="290" t="s">
        <v>205</v>
      </c>
      <c r="L789" s="274" t="s">
        <v>155</v>
      </c>
      <c r="M789" s="270"/>
      <c r="N789" s="270"/>
      <c r="O789" s="270"/>
    </row>
    <row r="790" spans="1:15" hidden="1">
      <c r="A790" s="269">
        <v>45782</v>
      </c>
      <c r="B790" s="270" t="s">
        <v>1944</v>
      </c>
      <c r="C790" s="270" t="s">
        <v>127</v>
      </c>
      <c r="D790" s="271" t="s">
        <v>117</v>
      </c>
      <c r="E790" s="272">
        <v>30000</v>
      </c>
      <c r="F790" s="272">
        <v>51.466044590867249</v>
      </c>
      <c r="G790" s="273">
        <v>582.90899999999999</v>
      </c>
      <c r="H790" s="274" t="s">
        <v>203</v>
      </c>
      <c r="I790" s="279" t="s">
        <v>1941</v>
      </c>
      <c r="J790" s="274" t="s">
        <v>98</v>
      </c>
      <c r="K790" s="287" t="s">
        <v>2150</v>
      </c>
      <c r="L790" s="292" t="s">
        <v>155</v>
      </c>
      <c r="M790" s="270"/>
      <c r="N790" s="270"/>
      <c r="O790" s="270"/>
    </row>
    <row r="791" spans="1:15" hidden="1">
      <c r="A791" s="269">
        <v>45782</v>
      </c>
      <c r="B791" s="270" t="s">
        <v>1717</v>
      </c>
      <c r="C791" s="277" t="s">
        <v>2342</v>
      </c>
      <c r="D791" s="270" t="s">
        <v>118</v>
      </c>
      <c r="E791" s="272">
        <v>3225</v>
      </c>
      <c r="F791" s="272">
        <v>5.5325997935182292</v>
      </c>
      <c r="G791" s="282">
        <v>579.64599999999996</v>
      </c>
      <c r="H791" s="274" t="s">
        <v>643</v>
      </c>
      <c r="I791" s="274" t="s">
        <v>1973</v>
      </c>
      <c r="J791" s="274" t="s">
        <v>98</v>
      </c>
      <c r="K791" s="290" t="s">
        <v>205</v>
      </c>
      <c r="L791" s="274" t="s">
        <v>155</v>
      </c>
      <c r="M791" s="270"/>
      <c r="N791" s="270"/>
      <c r="O791" s="270"/>
    </row>
    <row r="792" spans="1:15" hidden="1">
      <c r="A792" s="269">
        <v>45782</v>
      </c>
      <c r="B792" s="270" t="s">
        <v>1987</v>
      </c>
      <c r="C792" s="270" t="s">
        <v>127</v>
      </c>
      <c r="D792" s="270" t="s">
        <v>118</v>
      </c>
      <c r="E792" s="272">
        <v>30000</v>
      </c>
      <c r="F792" s="272">
        <v>51.466044590867249</v>
      </c>
      <c r="G792" s="273">
        <v>582.90899999999999</v>
      </c>
      <c r="H792" s="274" t="s">
        <v>643</v>
      </c>
      <c r="I792" s="279" t="s">
        <v>1974</v>
      </c>
      <c r="J792" s="274" t="s">
        <v>98</v>
      </c>
      <c r="K792" s="287" t="s">
        <v>2150</v>
      </c>
      <c r="L792" s="292" t="s">
        <v>155</v>
      </c>
      <c r="M792" s="270"/>
      <c r="N792" s="270"/>
      <c r="O792" s="270"/>
    </row>
    <row r="793" spans="1:15" hidden="1">
      <c r="A793" s="269">
        <v>45782</v>
      </c>
      <c r="B793" s="270" t="s">
        <v>1765</v>
      </c>
      <c r="C793" s="270" t="s">
        <v>152</v>
      </c>
      <c r="D793" s="270" t="s">
        <v>1750</v>
      </c>
      <c r="E793" s="272">
        <v>21000</v>
      </c>
      <c r="F793" s="272">
        <v>36.026231213607076</v>
      </c>
      <c r="G793" s="282">
        <v>579.64599999999996</v>
      </c>
      <c r="H793" s="274" t="s">
        <v>643</v>
      </c>
      <c r="I793" s="274" t="s">
        <v>1988</v>
      </c>
      <c r="J793" s="274" t="s">
        <v>98</v>
      </c>
      <c r="K793" s="290" t="s">
        <v>205</v>
      </c>
      <c r="L793" s="274" t="s">
        <v>155</v>
      </c>
      <c r="M793" s="270"/>
      <c r="N793" s="270"/>
      <c r="O793" s="270"/>
    </row>
    <row r="794" spans="1:15" hidden="1">
      <c r="A794" s="269">
        <v>45782</v>
      </c>
      <c r="B794" s="270" t="s">
        <v>1747</v>
      </c>
      <c r="C794" s="270" t="s">
        <v>152</v>
      </c>
      <c r="D794" s="271" t="s">
        <v>502</v>
      </c>
      <c r="E794" s="272">
        <v>10000</v>
      </c>
      <c r="F794" s="272">
        <v>17.15534819695575</v>
      </c>
      <c r="G794" s="282">
        <v>579.64599999999996</v>
      </c>
      <c r="H794" s="274" t="s">
        <v>187</v>
      </c>
      <c r="I794" s="275" t="s">
        <v>1837</v>
      </c>
      <c r="J794" s="274" t="s">
        <v>98</v>
      </c>
      <c r="K794" s="290" t="s">
        <v>205</v>
      </c>
      <c r="L794" s="274" t="s">
        <v>155</v>
      </c>
      <c r="M794" s="270"/>
      <c r="N794" s="270"/>
      <c r="O794" s="270"/>
    </row>
    <row r="795" spans="1:15" hidden="1">
      <c r="A795" s="269">
        <v>45782</v>
      </c>
      <c r="B795" s="270" t="s">
        <v>1749</v>
      </c>
      <c r="C795" s="270" t="s">
        <v>152</v>
      </c>
      <c r="D795" s="271" t="s">
        <v>502</v>
      </c>
      <c r="E795" s="272">
        <v>16000</v>
      </c>
      <c r="F795" s="272">
        <v>27.448557115129201</v>
      </c>
      <c r="G795" s="282">
        <v>579.64599999999996</v>
      </c>
      <c r="H795" s="274" t="s">
        <v>187</v>
      </c>
      <c r="I795" s="275" t="s">
        <v>1838</v>
      </c>
      <c r="J795" s="274" t="s">
        <v>98</v>
      </c>
      <c r="K795" s="290" t="s">
        <v>205</v>
      </c>
      <c r="L795" s="274" t="s">
        <v>155</v>
      </c>
      <c r="M795" s="270"/>
      <c r="N795" s="270"/>
      <c r="O795" s="270"/>
    </row>
    <row r="796" spans="1:15" hidden="1">
      <c r="A796" s="269">
        <v>45782</v>
      </c>
      <c r="B796" s="270" t="s">
        <v>1747</v>
      </c>
      <c r="C796" s="270" t="s">
        <v>152</v>
      </c>
      <c r="D796" s="271" t="s">
        <v>502</v>
      </c>
      <c r="E796" s="272">
        <v>26000</v>
      </c>
      <c r="F796" s="272">
        <v>44.603905312084947</v>
      </c>
      <c r="G796" s="282">
        <v>579.64599999999996</v>
      </c>
      <c r="H796" s="274" t="s">
        <v>176</v>
      </c>
      <c r="I796" s="274" t="s">
        <v>1883</v>
      </c>
      <c r="J796" s="274" t="s">
        <v>98</v>
      </c>
      <c r="K796" s="290" t="s">
        <v>205</v>
      </c>
      <c r="L796" s="274" t="s">
        <v>155</v>
      </c>
      <c r="M796" s="270"/>
      <c r="N796" s="270"/>
      <c r="O796" s="270"/>
    </row>
    <row r="797" spans="1:15" hidden="1">
      <c r="A797" s="269">
        <v>45782</v>
      </c>
      <c r="B797" s="270" t="s">
        <v>1746</v>
      </c>
      <c r="C797" s="270" t="s">
        <v>152</v>
      </c>
      <c r="D797" s="271" t="s">
        <v>502</v>
      </c>
      <c r="E797" s="272">
        <v>26000</v>
      </c>
      <c r="F797" s="272">
        <v>44.603905312084947</v>
      </c>
      <c r="G797" s="282">
        <v>579.64599999999996</v>
      </c>
      <c r="H797" s="274" t="s">
        <v>343</v>
      </c>
      <c r="I797" s="274" t="s">
        <v>1930</v>
      </c>
      <c r="J797" s="274" t="s">
        <v>98</v>
      </c>
      <c r="K797" s="290" t="s">
        <v>205</v>
      </c>
      <c r="L797" s="274" t="s">
        <v>155</v>
      </c>
      <c r="M797" s="270"/>
      <c r="N797" s="270"/>
      <c r="O797" s="270"/>
    </row>
    <row r="798" spans="1:15" hidden="1">
      <c r="A798" s="269">
        <v>45782</v>
      </c>
      <c r="B798" s="270" t="s">
        <v>1763</v>
      </c>
      <c r="C798" s="270" t="s">
        <v>152</v>
      </c>
      <c r="D798" s="271" t="s">
        <v>117</v>
      </c>
      <c r="E798" s="272">
        <v>16000</v>
      </c>
      <c r="F798" s="272">
        <v>27.448557115129201</v>
      </c>
      <c r="G798" s="282">
        <v>579.64599999999996</v>
      </c>
      <c r="H798" s="274" t="s">
        <v>193</v>
      </c>
      <c r="I798" s="274" t="s">
        <v>2000</v>
      </c>
      <c r="J798" s="274" t="s">
        <v>98</v>
      </c>
      <c r="K798" s="290" t="s">
        <v>205</v>
      </c>
      <c r="L798" s="274" t="s">
        <v>155</v>
      </c>
      <c r="M798" s="270"/>
      <c r="N798" s="270"/>
      <c r="O798" s="270"/>
    </row>
    <row r="799" spans="1:15" hidden="1">
      <c r="A799" s="269">
        <v>45782</v>
      </c>
      <c r="B799" s="270" t="s">
        <v>1748</v>
      </c>
      <c r="C799" s="270" t="s">
        <v>152</v>
      </c>
      <c r="D799" s="271" t="s">
        <v>117</v>
      </c>
      <c r="E799" s="272">
        <v>5000</v>
      </c>
      <c r="F799" s="272">
        <v>8.5776740984778748</v>
      </c>
      <c r="G799" s="282">
        <v>579.64599999999996</v>
      </c>
      <c r="H799" s="274" t="s">
        <v>193</v>
      </c>
      <c r="I799" s="274" t="s">
        <v>2001</v>
      </c>
      <c r="J799" s="274" t="s">
        <v>98</v>
      </c>
      <c r="K799" s="290" t="s">
        <v>205</v>
      </c>
      <c r="L799" s="274" t="s">
        <v>155</v>
      </c>
      <c r="M799" s="270"/>
      <c r="N799" s="270"/>
      <c r="O799" s="270"/>
    </row>
    <row r="800" spans="1:15" hidden="1">
      <c r="A800" s="269">
        <v>45782</v>
      </c>
      <c r="B800" s="270" t="s">
        <v>1718</v>
      </c>
      <c r="C800" s="277" t="s">
        <v>2342</v>
      </c>
      <c r="D800" s="270" t="s">
        <v>118</v>
      </c>
      <c r="E800" s="272">
        <v>4960</v>
      </c>
      <c r="F800" s="272">
        <v>8.5090527056900527</v>
      </c>
      <c r="G800" s="282">
        <v>579.64599999999996</v>
      </c>
      <c r="H800" s="274" t="s">
        <v>193</v>
      </c>
      <c r="I800" s="274" t="s">
        <v>1993</v>
      </c>
      <c r="J800" s="274" t="s">
        <v>98</v>
      </c>
      <c r="K800" s="290" t="s">
        <v>205</v>
      </c>
      <c r="L800" s="274" t="s">
        <v>155</v>
      </c>
      <c r="M800" s="270"/>
      <c r="N800" s="270"/>
      <c r="O800" s="270"/>
    </row>
    <row r="801" spans="1:15" hidden="1">
      <c r="A801" s="269">
        <v>45782</v>
      </c>
      <c r="B801" s="270" t="s">
        <v>2092</v>
      </c>
      <c r="C801" s="270" t="s">
        <v>127</v>
      </c>
      <c r="D801" s="271" t="s">
        <v>117</v>
      </c>
      <c r="E801" s="272">
        <v>30000</v>
      </c>
      <c r="F801" s="272">
        <v>51.466044590867249</v>
      </c>
      <c r="G801" s="273">
        <v>582.90899999999999</v>
      </c>
      <c r="H801" s="274" t="s">
        <v>193</v>
      </c>
      <c r="I801" s="279" t="s">
        <v>1994</v>
      </c>
      <c r="J801" s="274" t="s">
        <v>98</v>
      </c>
      <c r="K801" s="287" t="s">
        <v>2150</v>
      </c>
      <c r="L801" s="292" t="s">
        <v>155</v>
      </c>
      <c r="M801" s="270"/>
      <c r="N801" s="270"/>
      <c r="O801" s="270"/>
    </row>
    <row r="802" spans="1:15" hidden="1">
      <c r="A802" s="269">
        <v>45782</v>
      </c>
      <c r="B802" s="270" t="s">
        <v>2139</v>
      </c>
      <c r="C802" s="270" t="s">
        <v>127</v>
      </c>
      <c r="D802" s="271" t="s">
        <v>117</v>
      </c>
      <c r="E802" s="272">
        <v>30000</v>
      </c>
      <c r="F802" s="272">
        <v>51.466044590867249</v>
      </c>
      <c r="G802" s="273">
        <v>582.90899999999999</v>
      </c>
      <c r="H802" s="274" t="s">
        <v>196</v>
      </c>
      <c r="I802" s="279" t="s">
        <v>2021</v>
      </c>
      <c r="J802" s="274" t="s">
        <v>98</v>
      </c>
      <c r="K802" s="287" t="s">
        <v>2150</v>
      </c>
      <c r="L802" s="292" t="s">
        <v>155</v>
      </c>
      <c r="M802" s="270"/>
      <c r="N802" s="270"/>
      <c r="O802" s="270"/>
    </row>
    <row r="803" spans="1:15" hidden="1">
      <c r="A803" s="269">
        <v>45782</v>
      </c>
      <c r="B803" s="270" t="s">
        <v>2140</v>
      </c>
      <c r="C803" s="270" t="s">
        <v>127</v>
      </c>
      <c r="D803" s="271" t="s">
        <v>117</v>
      </c>
      <c r="E803" s="272">
        <v>30000</v>
      </c>
      <c r="F803" s="272">
        <v>51.466044590867249</v>
      </c>
      <c r="G803" s="273">
        <v>582.90899999999999</v>
      </c>
      <c r="H803" s="274" t="s">
        <v>497</v>
      </c>
      <c r="I803" s="279" t="s">
        <v>2120</v>
      </c>
      <c r="J803" s="274" t="s">
        <v>98</v>
      </c>
      <c r="K803" s="287" t="s">
        <v>2150</v>
      </c>
      <c r="L803" s="292" t="s">
        <v>155</v>
      </c>
      <c r="M803" s="270"/>
      <c r="N803" s="270"/>
      <c r="O803" s="270"/>
    </row>
    <row r="804" spans="1:15" hidden="1">
      <c r="A804" s="269">
        <v>45782</v>
      </c>
      <c r="B804" s="270" t="s">
        <v>1763</v>
      </c>
      <c r="C804" s="270" t="s">
        <v>152</v>
      </c>
      <c r="D804" s="271" t="s">
        <v>117</v>
      </c>
      <c r="E804" s="272">
        <v>21000</v>
      </c>
      <c r="F804" s="272">
        <v>36.026231213607076</v>
      </c>
      <c r="G804" s="282">
        <v>579.64599999999996</v>
      </c>
      <c r="H804" s="274" t="s">
        <v>497</v>
      </c>
      <c r="I804" s="274" t="s">
        <v>2042</v>
      </c>
      <c r="J804" s="274" t="s">
        <v>98</v>
      </c>
      <c r="K804" s="290" t="s">
        <v>205</v>
      </c>
      <c r="L804" s="274" t="s">
        <v>155</v>
      </c>
      <c r="M804" s="270"/>
      <c r="N804" s="270"/>
      <c r="O804" s="270"/>
    </row>
    <row r="805" spans="1:15" hidden="1">
      <c r="A805" s="269">
        <v>45782</v>
      </c>
      <c r="B805" s="270" t="s">
        <v>2020</v>
      </c>
      <c r="C805" s="270" t="s">
        <v>127</v>
      </c>
      <c r="D805" s="271" t="s">
        <v>117</v>
      </c>
      <c r="E805" s="272">
        <v>30000</v>
      </c>
      <c r="F805" s="272">
        <v>51.466044590867249</v>
      </c>
      <c r="G805" s="273">
        <v>582.90899999999999</v>
      </c>
      <c r="H805" s="274" t="s">
        <v>190</v>
      </c>
      <c r="I805" s="279" t="s">
        <v>2017</v>
      </c>
      <c r="J805" s="274" t="s">
        <v>98</v>
      </c>
      <c r="K805" s="287" t="s">
        <v>2150</v>
      </c>
      <c r="L805" s="292" t="s">
        <v>155</v>
      </c>
      <c r="M805" s="270"/>
      <c r="N805" s="270"/>
      <c r="O805" s="270"/>
    </row>
    <row r="806" spans="1:15" hidden="1">
      <c r="A806" s="269">
        <v>45782</v>
      </c>
      <c r="B806" s="270" t="s">
        <v>1763</v>
      </c>
      <c r="C806" s="270" t="s">
        <v>152</v>
      </c>
      <c r="D806" s="271" t="s">
        <v>117</v>
      </c>
      <c r="E806" s="272">
        <v>21000</v>
      </c>
      <c r="F806" s="272">
        <v>36.026231213607076</v>
      </c>
      <c r="G806" s="282">
        <v>579.64599999999996</v>
      </c>
      <c r="H806" s="274" t="s">
        <v>190</v>
      </c>
      <c r="I806" s="274" t="s">
        <v>2095</v>
      </c>
      <c r="J806" s="274" t="s">
        <v>98</v>
      </c>
      <c r="K806" s="290" t="s">
        <v>205</v>
      </c>
      <c r="L806" s="274" t="s">
        <v>155</v>
      </c>
      <c r="M806" s="270"/>
      <c r="N806" s="270"/>
      <c r="O806" s="270"/>
    </row>
    <row r="807" spans="1:15" hidden="1">
      <c r="A807" s="269">
        <v>45783</v>
      </c>
      <c r="B807" s="270" t="s">
        <v>1698</v>
      </c>
      <c r="C807" s="270" t="s">
        <v>123</v>
      </c>
      <c r="D807" s="271" t="s">
        <v>117</v>
      </c>
      <c r="E807" s="272">
        <v>300000</v>
      </c>
      <c r="F807" s="272">
        <v>514.6604459086725</v>
      </c>
      <c r="G807" s="282">
        <v>579.64599999999996</v>
      </c>
      <c r="H807" s="274" t="s">
        <v>148</v>
      </c>
      <c r="I807" s="274" t="s">
        <v>2122</v>
      </c>
      <c r="J807" s="274" t="s">
        <v>98</v>
      </c>
      <c r="K807" s="290" t="s">
        <v>205</v>
      </c>
      <c r="L807" s="274" t="s">
        <v>155</v>
      </c>
      <c r="M807" s="270"/>
      <c r="N807" s="270"/>
      <c r="O807" s="270"/>
    </row>
    <row r="808" spans="1:15" hidden="1">
      <c r="A808" s="269">
        <v>45783</v>
      </c>
      <c r="B808" s="270" t="s">
        <v>1935</v>
      </c>
      <c r="C808" s="270" t="s">
        <v>127</v>
      </c>
      <c r="D808" s="270" t="s">
        <v>119</v>
      </c>
      <c r="E808" s="272">
        <v>174625</v>
      </c>
      <c r="F808" s="272">
        <v>299.57526788933978</v>
      </c>
      <c r="G808" s="273">
        <v>582.90899999999999</v>
      </c>
      <c r="H808" s="274" t="s">
        <v>153</v>
      </c>
      <c r="I808" s="293" t="s">
        <v>1936</v>
      </c>
      <c r="J808" s="274" t="s">
        <v>98</v>
      </c>
      <c r="K808" s="287" t="s">
        <v>2150</v>
      </c>
      <c r="L808" s="292" t="s">
        <v>155</v>
      </c>
      <c r="M808" s="270"/>
      <c r="N808" s="270"/>
      <c r="O808" s="270"/>
    </row>
    <row r="809" spans="1:15" hidden="1">
      <c r="A809" s="269">
        <v>45783</v>
      </c>
      <c r="B809" s="270" t="s">
        <v>1799</v>
      </c>
      <c r="C809" s="276" t="s">
        <v>179</v>
      </c>
      <c r="D809" s="271" t="s">
        <v>502</v>
      </c>
      <c r="E809" s="272">
        <v>45000</v>
      </c>
      <c r="F809" s="272">
        <v>77.199066886300869</v>
      </c>
      <c r="G809" s="282">
        <v>579.64599999999996</v>
      </c>
      <c r="H809" s="274" t="s">
        <v>187</v>
      </c>
      <c r="I809" s="275" t="s">
        <v>1800</v>
      </c>
      <c r="J809" s="274" t="s">
        <v>98</v>
      </c>
      <c r="K809" s="290" t="s">
        <v>205</v>
      </c>
      <c r="L809" s="274" t="s">
        <v>155</v>
      </c>
      <c r="M809" s="270"/>
      <c r="N809" s="270"/>
      <c r="O809" s="270"/>
    </row>
    <row r="810" spans="1:15" hidden="1">
      <c r="A810" s="269">
        <v>45783</v>
      </c>
      <c r="B810" s="270" t="s">
        <v>1801</v>
      </c>
      <c r="C810" s="270" t="s">
        <v>175</v>
      </c>
      <c r="D810" s="271" t="s">
        <v>502</v>
      </c>
      <c r="E810" s="272">
        <v>6000</v>
      </c>
      <c r="F810" s="272">
        <v>10.29320891817345</v>
      </c>
      <c r="G810" s="282">
        <v>579.64599999999996</v>
      </c>
      <c r="H810" s="274" t="s">
        <v>187</v>
      </c>
      <c r="I810" s="275" t="s">
        <v>1802</v>
      </c>
      <c r="J810" s="274" t="s">
        <v>98</v>
      </c>
      <c r="K810" s="290" t="s">
        <v>205</v>
      </c>
      <c r="L810" s="274" t="s">
        <v>155</v>
      </c>
      <c r="M810" s="270"/>
      <c r="N810" s="270"/>
      <c r="O810" s="270"/>
    </row>
    <row r="811" spans="1:15" hidden="1">
      <c r="A811" s="269">
        <v>45783</v>
      </c>
      <c r="B811" s="270" t="s">
        <v>1847</v>
      </c>
      <c r="C811" s="276" t="s">
        <v>179</v>
      </c>
      <c r="D811" s="271" t="s">
        <v>502</v>
      </c>
      <c r="E811" s="272">
        <v>45000</v>
      </c>
      <c r="F811" s="272">
        <v>77.199066886300869</v>
      </c>
      <c r="G811" s="282">
        <v>579.64599999999996</v>
      </c>
      <c r="H811" s="274" t="s">
        <v>176</v>
      </c>
      <c r="I811" s="274" t="s">
        <v>1848</v>
      </c>
      <c r="J811" s="274" t="s">
        <v>98</v>
      </c>
      <c r="K811" s="290" t="s">
        <v>205</v>
      </c>
      <c r="L811" s="274" t="s">
        <v>155</v>
      </c>
      <c r="M811" s="270"/>
      <c r="N811" s="270"/>
      <c r="O811" s="270"/>
    </row>
    <row r="812" spans="1:15" hidden="1">
      <c r="A812" s="269">
        <v>45783</v>
      </c>
      <c r="B812" s="270" t="s">
        <v>1849</v>
      </c>
      <c r="C812" s="270" t="s">
        <v>175</v>
      </c>
      <c r="D812" s="271" t="s">
        <v>502</v>
      </c>
      <c r="E812" s="272">
        <v>5000</v>
      </c>
      <c r="F812" s="272">
        <v>8.5776740984778748</v>
      </c>
      <c r="G812" s="282">
        <v>579.64599999999996</v>
      </c>
      <c r="H812" s="274" t="s">
        <v>176</v>
      </c>
      <c r="I812" s="274" t="s">
        <v>1850</v>
      </c>
      <c r="J812" s="274" t="s">
        <v>98</v>
      </c>
      <c r="K812" s="290" t="s">
        <v>205</v>
      </c>
      <c r="L812" s="274" t="s">
        <v>155</v>
      </c>
      <c r="M812" s="270"/>
      <c r="N812" s="270"/>
      <c r="O812" s="270"/>
    </row>
    <row r="813" spans="1:15" hidden="1">
      <c r="A813" s="269">
        <v>45783</v>
      </c>
      <c r="B813" s="270" t="s">
        <v>1892</v>
      </c>
      <c r="C813" s="276" t="s">
        <v>179</v>
      </c>
      <c r="D813" s="271" t="s">
        <v>502</v>
      </c>
      <c r="E813" s="272">
        <v>45000</v>
      </c>
      <c r="F813" s="272">
        <v>77.199066886300869</v>
      </c>
      <c r="G813" s="282">
        <v>579.64599999999996</v>
      </c>
      <c r="H813" s="274" t="s">
        <v>343</v>
      </c>
      <c r="I813" s="274" t="s">
        <v>1893</v>
      </c>
      <c r="J813" s="274" t="s">
        <v>98</v>
      </c>
      <c r="K813" s="290" t="s">
        <v>205</v>
      </c>
      <c r="L813" s="274" t="s">
        <v>155</v>
      </c>
      <c r="M813" s="270"/>
      <c r="N813" s="270"/>
      <c r="O813" s="270"/>
    </row>
    <row r="814" spans="1:15" hidden="1">
      <c r="A814" s="269">
        <v>45783</v>
      </c>
      <c r="B814" s="270" t="s">
        <v>1894</v>
      </c>
      <c r="C814" s="270" t="s">
        <v>175</v>
      </c>
      <c r="D814" s="271" t="s">
        <v>502</v>
      </c>
      <c r="E814" s="272">
        <v>10000</v>
      </c>
      <c r="F814" s="272">
        <v>17.15534819695575</v>
      </c>
      <c r="G814" s="282">
        <v>579.64599999999996</v>
      </c>
      <c r="H814" s="274" t="s">
        <v>343</v>
      </c>
      <c r="I814" s="274" t="s">
        <v>1895</v>
      </c>
      <c r="J814" s="274" t="s">
        <v>98</v>
      </c>
      <c r="K814" s="290" t="s">
        <v>205</v>
      </c>
      <c r="L814" s="274" t="s">
        <v>155</v>
      </c>
      <c r="M814" s="270"/>
      <c r="N814" s="270"/>
      <c r="O814" s="270"/>
    </row>
    <row r="815" spans="1:15" hidden="1">
      <c r="A815" s="269">
        <v>45783</v>
      </c>
      <c r="B815" s="270" t="s">
        <v>1719</v>
      </c>
      <c r="C815" s="270" t="s">
        <v>175</v>
      </c>
      <c r="D815" s="271" t="s">
        <v>117</v>
      </c>
      <c r="E815" s="272">
        <v>28000</v>
      </c>
      <c r="F815" s="272">
        <v>48.034974951476102</v>
      </c>
      <c r="G815" s="282">
        <v>579.64599999999996</v>
      </c>
      <c r="H815" s="274" t="s">
        <v>193</v>
      </c>
      <c r="I815" s="274" t="s">
        <v>2088</v>
      </c>
      <c r="J815" s="274" t="s">
        <v>98</v>
      </c>
      <c r="K815" s="290" t="s">
        <v>205</v>
      </c>
      <c r="L815" s="274" t="s">
        <v>155</v>
      </c>
      <c r="M815" s="270"/>
      <c r="N815" s="270"/>
      <c r="O815" s="270"/>
    </row>
    <row r="816" spans="1:15" hidden="1">
      <c r="A816" s="269">
        <v>45783</v>
      </c>
      <c r="B816" s="270" t="s">
        <v>1720</v>
      </c>
      <c r="C816" s="276" t="s">
        <v>179</v>
      </c>
      <c r="D816" s="271" t="s">
        <v>117</v>
      </c>
      <c r="E816" s="272">
        <v>75000</v>
      </c>
      <c r="F816" s="272">
        <v>128.66511147716813</v>
      </c>
      <c r="G816" s="282">
        <v>579.64599999999996</v>
      </c>
      <c r="H816" s="274" t="s">
        <v>193</v>
      </c>
      <c r="I816" s="274" t="s">
        <v>2091</v>
      </c>
      <c r="J816" s="274" t="s">
        <v>98</v>
      </c>
      <c r="K816" s="290" t="s">
        <v>205</v>
      </c>
      <c r="L816" s="274" t="s">
        <v>155</v>
      </c>
      <c r="M816" s="270"/>
      <c r="N816" s="270"/>
      <c r="O816" s="270"/>
    </row>
    <row r="817" spans="1:15" hidden="1">
      <c r="A817" s="269">
        <v>45783</v>
      </c>
      <c r="B817" s="270" t="s">
        <v>1763</v>
      </c>
      <c r="C817" s="270" t="s">
        <v>152</v>
      </c>
      <c r="D817" s="271" t="s">
        <v>117</v>
      </c>
      <c r="E817" s="272">
        <v>21000</v>
      </c>
      <c r="F817" s="272">
        <v>36.026231213607076</v>
      </c>
      <c r="G817" s="282">
        <v>579.64599999999996</v>
      </c>
      <c r="H817" s="274" t="s">
        <v>196</v>
      </c>
      <c r="I817" s="274" t="s">
        <v>2025</v>
      </c>
      <c r="J817" s="274" t="s">
        <v>98</v>
      </c>
      <c r="K817" s="290" t="s">
        <v>205</v>
      </c>
      <c r="L817" s="274" t="s">
        <v>155</v>
      </c>
      <c r="M817" s="270"/>
      <c r="N817" s="270"/>
      <c r="O817" s="270"/>
    </row>
    <row r="818" spans="1:15" hidden="1">
      <c r="A818" s="269">
        <v>45783</v>
      </c>
      <c r="B818" s="270" t="s">
        <v>1238</v>
      </c>
      <c r="C818" s="270" t="s">
        <v>199</v>
      </c>
      <c r="D818" s="271" t="s">
        <v>117</v>
      </c>
      <c r="E818" s="272">
        <v>10000</v>
      </c>
      <c r="F818" s="272">
        <v>17.15534819695575</v>
      </c>
      <c r="G818" s="282">
        <v>579.64599999999996</v>
      </c>
      <c r="H818" s="274" t="s">
        <v>497</v>
      </c>
      <c r="I818" s="274" t="s">
        <v>2043</v>
      </c>
      <c r="J818" s="274" t="s">
        <v>98</v>
      </c>
      <c r="K818" s="290" t="s">
        <v>205</v>
      </c>
      <c r="L818" s="274" t="s">
        <v>155</v>
      </c>
      <c r="M818" s="270"/>
      <c r="N818" s="270"/>
      <c r="O818" s="270"/>
    </row>
    <row r="819" spans="1:15" hidden="1">
      <c r="A819" s="269">
        <v>45783</v>
      </c>
      <c r="B819" s="270" t="s">
        <v>2096</v>
      </c>
      <c r="C819" s="270" t="s">
        <v>175</v>
      </c>
      <c r="D819" s="271" t="s">
        <v>117</v>
      </c>
      <c r="E819" s="272">
        <v>10000</v>
      </c>
      <c r="F819" s="272">
        <v>17.15534819695575</v>
      </c>
      <c r="G819" s="282">
        <v>579.64599999999996</v>
      </c>
      <c r="H819" s="274" t="s">
        <v>190</v>
      </c>
      <c r="I819" s="274" t="s">
        <v>2097</v>
      </c>
      <c r="J819" s="274" t="s">
        <v>98</v>
      </c>
      <c r="K819" s="290" t="s">
        <v>205</v>
      </c>
      <c r="L819" s="274" t="s">
        <v>155</v>
      </c>
      <c r="M819" s="270"/>
      <c r="N819" s="270"/>
      <c r="O819" s="270"/>
    </row>
    <row r="820" spans="1:15" hidden="1">
      <c r="A820" s="269">
        <v>45784</v>
      </c>
      <c r="B820" s="270" t="s">
        <v>1699</v>
      </c>
      <c r="C820" s="270" t="s">
        <v>317</v>
      </c>
      <c r="D820" s="270" t="s">
        <v>118</v>
      </c>
      <c r="E820" s="272">
        <v>260000</v>
      </c>
      <c r="F820" s="272">
        <v>446.03905312084947</v>
      </c>
      <c r="G820" s="282">
        <v>579.64599999999996</v>
      </c>
      <c r="H820" s="274" t="s">
        <v>148</v>
      </c>
      <c r="I820" s="274" t="s">
        <v>2123</v>
      </c>
      <c r="J820" s="274" t="s">
        <v>98</v>
      </c>
      <c r="K820" s="290" t="s">
        <v>205</v>
      </c>
      <c r="L820" s="274" t="s">
        <v>155</v>
      </c>
      <c r="M820" s="270"/>
      <c r="N820" s="270"/>
      <c r="O820" s="270"/>
    </row>
    <row r="821" spans="1:15" hidden="1">
      <c r="A821" s="269">
        <v>45784</v>
      </c>
      <c r="B821" s="270" t="s">
        <v>612</v>
      </c>
      <c r="C821" s="276" t="s">
        <v>1321</v>
      </c>
      <c r="D821" s="270" t="s">
        <v>118</v>
      </c>
      <c r="E821" s="272">
        <v>47400</v>
      </c>
      <c r="F821" s="272">
        <v>81.316350453570251</v>
      </c>
      <c r="G821" s="282">
        <v>579.64599999999996</v>
      </c>
      <c r="H821" s="274" t="s">
        <v>643</v>
      </c>
      <c r="I821" s="274" t="s">
        <v>1975</v>
      </c>
      <c r="J821" s="274" t="s">
        <v>98</v>
      </c>
      <c r="K821" s="290" t="s">
        <v>205</v>
      </c>
      <c r="L821" s="274" t="s">
        <v>155</v>
      </c>
      <c r="M821" s="270"/>
      <c r="N821" s="270"/>
      <c r="O821" s="270"/>
    </row>
    <row r="822" spans="1:15" hidden="1">
      <c r="A822" s="269">
        <v>45784</v>
      </c>
      <c r="B822" s="270" t="s">
        <v>2044</v>
      </c>
      <c r="C822" s="276" t="s">
        <v>179</v>
      </c>
      <c r="D822" s="271" t="s">
        <v>117</v>
      </c>
      <c r="E822" s="272">
        <v>30000</v>
      </c>
      <c r="F822" s="272">
        <v>51.466044590867249</v>
      </c>
      <c r="G822" s="282">
        <v>579.64599999999996</v>
      </c>
      <c r="H822" s="274" t="s">
        <v>497</v>
      </c>
      <c r="I822" s="274" t="s">
        <v>2045</v>
      </c>
      <c r="J822" s="274" t="s">
        <v>98</v>
      </c>
      <c r="K822" s="290" t="s">
        <v>205</v>
      </c>
      <c r="L822" s="274" t="s">
        <v>155</v>
      </c>
      <c r="M822" s="270"/>
      <c r="N822" s="270"/>
      <c r="O822" s="270"/>
    </row>
    <row r="823" spans="1:15" hidden="1">
      <c r="A823" s="269">
        <v>45784</v>
      </c>
      <c r="B823" s="270" t="s">
        <v>2098</v>
      </c>
      <c r="C823" s="276" t="s">
        <v>179</v>
      </c>
      <c r="D823" s="271" t="s">
        <v>117</v>
      </c>
      <c r="E823" s="272">
        <v>30000</v>
      </c>
      <c r="F823" s="272">
        <v>51.466044590867249</v>
      </c>
      <c r="G823" s="282">
        <v>579.64599999999996</v>
      </c>
      <c r="H823" s="274" t="s">
        <v>190</v>
      </c>
      <c r="I823" s="274" t="s">
        <v>2099</v>
      </c>
      <c r="J823" s="274" t="s">
        <v>98</v>
      </c>
      <c r="K823" s="290" t="s">
        <v>205</v>
      </c>
      <c r="L823" s="274" t="s">
        <v>155</v>
      </c>
      <c r="M823" s="270"/>
      <c r="N823" s="270"/>
      <c r="O823" s="270"/>
    </row>
    <row r="824" spans="1:15" hidden="1">
      <c r="A824" s="269">
        <v>45785</v>
      </c>
      <c r="B824" s="270" t="s">
        <v>1803</v>
      </c>
      <c r="C824" s="276" t="s">
        <v>179</v>
      </c>
      <c r="D824" s="271" t="s">
        <v>502</v>
      </c>
      <c r="E824" s="272">
        <v>30000</v>
      </c>
      <c r="F824" s="272">
        <v>51.466044590867249</v>
      </c>
      <c r="G824" s="282">
        <v>579.64599999999996</v>
      </c>
      <c r="H824" s="274" t="s">
        <v>187</v>
      </c>
      <c r="I824" s="275" t="s">
        <v>1804</v>
      </c>
      <c r="J824" s="274" t="s">
        <v>98</v>
      </c>
      <c r="K824" s="290" t="s">
        <v>205</v>
      </c>
      <c r="L824" s="274" t="s">
        <v>155</v>
      </c>
      <c r="M824" s="270"/>
      <c r="N824" s="270"/>
      <c r="O824" s="270"/>
    </row>
    <row r="825" spans="1:15" hidden="1">
      <c r="A825" s="269">
        <v>45785</v>
      </c>
      <c r="B825" s="270" t="s">
        <v>1805</v>
      </c>
      <c r="C825" s="270" t="s">
        <v>175</v>
      </c>
      <c r="D825" s="271" t="s">
        <v>502</v>
      </c>
      <c r="E825" s="272">
        <v>7000</v>
      </c>
      <c r="F825" s="272">
        <v>12.008743737869025</v>
      </c>
      <c r="G825" s="282">
        <v>579.64599999999996</v>
      </c>
      <c r="H825" s="274" t="s">
        <v>187</v>
      </c>
      <c r="I825" s="275" t="s">
        <v>1806</v>
      </c>
      <c r="J825" s="274" t="s">
        <v>98</v>
      </c>
      <c r="K825" s="290" t="s">
        <v>205</v>
      </c>
      <c r="L825" s="274" t="s">
        <v>155</v>
      </c>
      <c r="M825" s="270"/>
      <c r="N825" s="270"/>
      <c r="O825" s="270"/>
    </row>
    <row r="826" spans="1:15" hidden="1">
      <c r="A826" s="269">
        <v>45785</v>
      </c>
      <c r="B826" s="270" t="s">
        <v>1851</v>
      </c>
      <c r="C826" s="276" t="s">
        <v>179</v>
      </c>
      <c r="D826" s="271" t="s">
        <v>502</v>
      </c>
      <c r="E826" s="272">
        <v>30000</v>
      </c>
      <c r="F826" s="272">
        <v>51.466044590867249</v>
      </c>
      <c r="G826" s="282">
        <v>579.64599999999996</v>
      </c>
      <c r="H826" s="274" t="s">
        <v>176</v>
      </c>
      <c r="I826" s="274" t="s">
        <v>1852</v>
      </c>
      <c r="J826" s="274" t="s">
        <v>98</v>
      </c>
      <c r="K826" s="290" t="s">
        <v>205</v>
      </c>
      <c r="L826" s="274" t="s">
        <v>155</v>
      </c>
      <c r="M826" s="270"/>
      <c r="N826" s="270"/>
      <c r="O826" s="270"/>
    </row>
    <row r="827" spans="1:15" hidden="1">
      <c r="A827" s="269">
        <v>45785</v>
      </c>
      <c r="B827" s="270" t="s">
        <v>1853</v>
      </c>
      <c r="C827" s="270" t="s">
        <v>175</v>
      </c>
      <c r="D827" s="271" t="s">
        <v>502</v>
      </c>
      <c r="E827" s="272">
        <v>7000</v>
      </c>
      <c r="F827" s="272">
        <v>12.008743737869025</v>
      </c>
      <c r="G827" s="282">
        <v>579.64599999999996</v>
      </c>
      <c r="H827" s="274" t="s">
        <v>176</v>
      </c>
      <c r="I827" s="274" t="s">
        <v>1854</v>
      </c>
      <c r="J827" s="274" t="s">
        <v>98</v>
      </c>
      <c r="K827" s="290" t="s">
        <v>205</v>
      </c>
      <c r="L827" s="274" t="s">
        <v>155</v>
      </c>
      <c r="M827" s="270"/>
      <c r="N827" s="270"/>
      <c r="O827" s="270"/>
    </row>
    <row r="828" spans="1:15" hidden="1">
      <c r="A828" s="269">
        <v>45785</v>
      </c>
      <c r="B828" s="270" t="s">
        <v>1896</v>
      </c>
      <c r="C828" s="276" t="s">
        <v>179</v>
      </c>
      <c r="D828" s="271" t="s">
        <v>502</v>
      </c>
      <c r="E828" s="272">
        <v>30000</v>
      </c>
      <c r="F828" s="272">
        <v>51.466044590867249</v>
      </c>
      <c r="G828" s="282">
        <v>579.64599999999996</v>
      </c>
      <c r="H828" s="274" t="s">
        <v>343</v>
      </c>
      <c r="I828" s="274" t="s">
        <v>1897</v>
      </c>
      <c r="J828" s="274" t="s">
        <v>98</v>
      </c>
      <c r="K828" s="290" t="s">
        <v>205</v>
      </c>
      <c r="L828" s="274" t="s">
        <v>155</v>
      </c>
      <c r="M828" s="270"/>
      <c r="N828" s="270"/>
      <c r="O828" s="270"/>
    </row>
    <row r="829" spans="1:15" hidden="1">
      <c r="A829" s="269">
        <v>45785</v>
      </c>
      <c r="B829" s="270" t="s">
        <v>1898</v>
      </c>
      <c r="C829" s="270" t="s">
        <v>175</v>
      </c>
      <c r="D829" s="271" t="s">
        <v>502</v>
      </c>
      <c r="E829" s="272">
        <v>10000</v>
      </c>
      <c r="F829" s="272">
        <v>17.15534819695575</v>
      </c>
      <c r="G829" s="282">
        <v>579.64599999999996</v>
      </c>
      <c r="H829" s="274" t="s">
        <v>343</v>
      </c>
      <c r="I829" s="274" t="s">
        <v>1899</v>
      </c>
      <c r="J829" s="274" t="s">
        <v>98</v>
      </c>
      <c r="K829" s="290" t="s">
        <v>205</v>
      </c>
      <c r="L829" s="274" t="s">
        <v>155</v>
      </c>
      <c r="M829" s="270"/>
      <c r="N829" s="270"/>
      <c r="O829" s="270"/>
    </row>
    <row r="830" spans="1:15" hidden="1">
      <c r="A830" s="269">
        <v>45785</v>
      </c>
      <c r="B830" s="270" t="s">
        <v>1900</v>
      </c>
      <c r="C830" s="270" t="s">
        <v>175</v>
      </c>
      <c r="D830" s="271" t="s">
        <v>502</v>
      </c>
      <c r="E830" s="272">
        <v>4000</v>
      </c>
      <c r="F830" s="272">
        <v>6.8621392787823003</v>
      </c>
      <c r="G830" s="282">
        <v>579.64599999999996</v>
      </c>
      <c r="H830" s="274" t="s">
        <v>343</v>
      </c>
      <c r="I830" s="274" t="s">
        <v>1901</v>
      </c>
      <c r="J830" s="274" t="s">
        <v>98</v>
      </c>
      <c r="K830" s="290" t="s">
        <v>205</v>
      </c>
      <c r="L830" s="274" t="s">
        <v>155</v>
      </c>
      <c r="M830" s="270"/>
      <c r="N830" s="270"/>
      <c r="O830" s="270"/>
    </row>
    <row r="831" spans="1:15" hidden="1">
      <c r="A831" s="269">
        <v>45786</v>
      </c>
      <c r="B831" s="270" t="s">
        <v>1646</v>
      </c>
      <c r="C831" s="270" t="s">
        <v>123</v>
      </c>
      <c r="D831" s="271" t="s">
        <v>117</v>
      </c>
      <c r="E831" s="272">
        <v>150000</v>
      </c>
      <c r="F831" s="272">
        <v>257.33022295433625</v>
      </c>
      <c r="G831" s="282">
        <v>579.64599999999996</v>
      </c>
      <c r="H831" s="274" t="s">
        <v>148</v>
      </c>
      <c r="I831" s="274" t="s">
        <v>2124</v>
      </c>
      <c r="J831" s="274" t="s">
        <v>98</v>
      </c>
      <c r="K831" s="290" t="s">
        <v>205</v>
      </c>
      <c r="L831" s="274" t="s">
        <v>155</v>
      </c>
      <c r="M831" s="270"/>
      <c r="N831" s="270"/>
      <c r="O831" s="270"/>
    </row>
    <row r="832" spans="1:15" hidden="1">
      <c r="A832" s="269">
        <v>45786</v>
      </c>
      <c r="B832" s="270" t="s">
        <v>1807</v>
      </c>
      <c r="C832" s="270" t="s">
        <v>175</v>
      </c>
      <c r="D832" s="271" t="s">
        <v>502</v>
      </c>
      <c r="E832" s="272">
        <v>10000</v>
      </c>
      <c r="F832" s="272">
        <v>17.15534819695575</v>
      </c>
      <c r="G832" s="282">
        <v>579.64599999999996</v>
      </c>
      <c r="H832" s="274" t="s">
        <v>187</v>
      </c>
      <c r="I832" s="275" t="s">
        <v>1808</v>
      </c>
      <c r="J832" s="274" t="s">
        <v>98</v>
      </c>
      <c r="K832" s="290" t="s">
        <v>205</v>
      </c>
      <c r="L832" s="274" t="s">
        <v>155</v>
      </c>
      <c r="M832" s="270"/>
      <c r="N832" s="270"/>
      <c r="O832" s="270"/>
    </row>
    <row r="833" spans="1:15" hidden="1">
      <c r="A833" s="269">
        <v>45786</v>
      </c>
      <c r="B833" s="270" t="s">
        <v>1721</v>
      </c>
      <c r="C833" s="277" t="s">
        <v>2342</v>
      </c>
      <c r="D833" s="270" t="s">
        <v>118</v>
      </c>
      <c r="E833" s="272">
        <v>3270</v>
      </c>
      <c r="F833" s="272">
        <v>5.6097988604045304</v>
      </c>
      <c r="G833" s="282">
        <v>579.64599999999996</v>
      </c>
      <c r="H833" s="274" t="s">
        <v>196</v>
      </c>
      <c r="I833" s="274" t="s">
        <v>2022</v>
      </c>
      <c r="J833" s="274" t="s">
        <v>98</v>
      </c>
      <c r="K833" s="290" t="s">
        <v>205</v>
      </c>
      <c r="L833" s="274" t="s">
        <v>155</v>
      </c>
      <c r="M833" s="270"/>
      <c r="N833" s="270"/>
      <c r="O833" s="270"/>
    </row>
    <row r="834" spans="1:15" hidden="1">
      <c r="A834" s="269">
        <v>45786</v>
      </c>
      <c r="B834" s="270" t="s">
        <v>1722</v>
      </c>
      <c r="C834" s="276" t="s">
        <v>126</v>
      </c>
      <c r="D834" s="270" t="s">
        <v>118</v>
      </c>
      <c r="E834" s="272">
        <v>68737</v>
      </c>
      <c r="F834" s="272">
        <v>117.92071690141474</v>
      </c>
      <c r="G834" s="282">
        <v>579.64599999999996</v>
      </c>
      <c r="H834" s="274" t="s">
        <v>196</v>
      </c>
      <c r="I834" s="274" t="s">
        <v>2023</v>
      </c>
      <c r="J834" s="274" t="s">
        <v>98</v>
      </c>
      <c r="K834" s="290" t="s">
        <v>205</v>
      </c>
      <c r="L834" s="274" t="s">
        <v>155</v>
      </c>
      <c r="M834" s="270"/>
      <c r="N834" s="270"/>
      <c r="O834" s="270"/>
    </row>
    <row r="835" spans="1:15" hidden="1">
      <c r="A835" s="269">
        <v>45786</v>
      </c>
      <c r="B835" s="270" t="s">
        <v>2046</v>
      </c>
      <c r="C835" s="270" t="s">
        <v>199</v>
      </c>
      <c r="D835" s="271" t="s">
        <v>117</v>
      </c>
      <c r="E835" s="272">
        <v>10000</v>
      </c>
      <c r="F835" s="272">
        <v>17.15534819695575</v>
      </c>
      <c r="G835" s="282">
        <v>579.64599999999996</v>
      </c>
      <c r="H835" s="274" t="s">
        <v>497</v>
      </c>
      <c r="I835" s="274" t="s">
        <v>2047</v>
      </c>
      <c r="J835" s="274" t="s">
        <v>98</v>
      </c>
      <c r="K835" s="290" t="s">
        <v>205</v>
      </c>
      <c r="L835" s="274" t="s">
        <v>155</v>
      </c>
      <c r="M835" s="270"/>
      <c r="N835" s="270"/>
      <c r="O835" s="270"/>
    </row>
    <row r="836" spans="1:15" hidden="1">
      <c r="A836" s="269">
        <v>45786</v>
      </c>
      <c r="B836" s="270" t="s">
        <v>2100</v>
      </c>
      <c r="C836" s="270" t="s">
        <v>2058</v>
      </c>
      <c r="D836" s="271" t="s">
        <v>117</v>
      </c>
      <c r="E836" s="272">
        <v>20000</v>
      </c>
      <c r="F836" s="272">
        <v>34.310696393911499</v>
      </c>
      <c r="G836" s="282">
        <v>579.64599999999996</v>
      </c>
      <c r="H836" s="274" t="s">
        <v>190</v>
      </c>
      <c r="I836" s="274" t="s">
        <v>2101</v>
      </c>
      <c r="J836" s="274" t="s">
        <v>98</v>
      </c>
      <c r="K836" s="290" t="s">
        <v>205</v>
      </c>
      <c r="L836" s="274" t="s">
        <v>155</v>
      </c>
      <c r="M836" s="270"/>
      <c r="N836" s="270"/>
      <c r="O836" s="270"/>
    </row>
    <row r="837" spans="1:15" hidden="1">
      <c r="A837" s="269">
        <v>45786</v>
      </c>
      <c r="B837" s="270" t="s">
        <v>2102</v>
      </c>
      <c r="C837" s="270" t="s">
        <v>175</v>
      </c>
      <c r="D837" s="271" t="s">
        <v>117</v>
      </c>
      <c r="E837" s="272">
        <v>10000</v>
      </c>
      <c r="F837" s="272">
        <v>17.15534819695575</v>
      </c>
      <c r="G837" s="282">
        <v>579.64599999999996</v>
      </c>
      <c r="H837" s="274" t="s">
        <v>190</v>
      </c>
      <c r="I837" s="274" t="s">
        <v>2103</v>
      </c>
      <c r="J837" s="274" t="s">
        <v>98</v>
      </c>
      <c r="K837" s="290" t="s">
        <v>205</v>
      </c>
      <c r="L837" s="274" t="s">
        <v>155</v>
      </c>
      <c r="M837" s="270"/>
      <c r="N837" s="270"/>
      <c r="O837" s="270"/>
    </row>
    <row r="838" spans="1:15" hidden="1">
      <c r="A838" s="269">
        <v>45787</v>
      </c>
      <c r="B838" s="270" t="s">
        <v>1809</v>
      </c>
      <c r="C838" s="276" t="s">
        <v>179</v>
      </c>
      <c r="D838" s="271" t="s">
        <v>502</v>
      </c>
      <c r="E838" s="272">
        <v>30000</v>
      </c>
      <c r="F838" s="272">
        <v>51.466044590867249</v>
      </c>
      <c r="G838" s="282">
        <v>579.64599999999996</v>
      </c>
      <c r="H838" s="274" t="s">
        <v>187</v>
      </c>
      <c r="I838" s="275" t="s">
        <v>1810</v>
      </c>
      <c r="J838" s="274" t="s">
        <v>98</v>
      </c>
      <c r="K838" s="290" t="s">
        <v>205</v>
      </c>
      <c r="L838" s="274" t="s">
        <v>155</v>
      </c>
      <c r="M838" s="270"/>
      <c r="N838" s="270"/>
      <c r="O838" s="270"/>
    </row>
    <row r="839" spans="1:15" hidden="1">
      <c r="A839" s="269">
        <v>45787</v>
      </c>
      <c r="B839" s="270" t="s">
        <v>1855</v>
      </c>
      <c r="C839" s="276" t="s">
        <v>179</v>
      </c>
      <c r="D839" s="271" t="s">
        <v>502</v>
      </c>
      <c r="E839" s="272">
        <v>30000</v>
      </c>
      <c r="F839" s="272">
        <v>51.466044590867249</v>
      </c>
      <c r="G839" s="282">
        <v>579.64599999999996</v>
      </c>
      <c r="H839" s="274" t="s">
        <v>176</v>
      </c>
      <c r="I839" s="274" t="s">
        <v>1856</v>
      </c>
      <c r="J839" s="274" t="s">
        <v>98</v>
      </c>
      <c r="K839" s="290" t="s">
        <v>205</v>
      </c>
      <c r="L839" s="274" t="s">
        <v>155</v>
      </c>
      <c r="M839" s="270"/>
      <c r="N839" s="270"/>
      <c r="O839" s="270"/>
    </row>
    <row r="840" spans="1:15" hidden="1">
      <c r="A840" s="269">
        <v>45787</v>
      </c>
      <c r="B840" s="270" t="s">
        <v>1857</v>
      </c>
      <c r="C840" s="270" t="s">
        <v>175</v>
      </c>
      <c r="D840" s="271" t="s">
        <v>502</v>
      </c>
      <c r="E840" s="272">
        <v>12000</v>
      </c>
      <c r="F840" s="272">
        <v>20.5864178363469</v>
      </c>
      <c r="G840" s="282">
        <v>579.64599999999996</v>
      </c>
      <c r="H840" s="274" t="s">
        <v>176</v>
      </c>
      <c r="I840" s="274" t="s">
        <v>1858</v>
      </c>
      <c r="J840" s="274" t="s">
        <v>98</v>
      </c>
      <c r="K840" s="290" t="s">
        <v>205</v>
      </c>
      <c r="L840" s="274" t="s">
        <v>155</v>
      </c>
      <c r="M840" s="270"/>
      <c r="N840" s="270"/>
      <c r="O840" s="270"/>
    </row>
    <row r="841" spans="1:15" hidden="1">
      <c r="A841" s="269">
        <v>45787</v>
      </c>
      <c r="B841" s="270" t="s">
        <v>1902</v>
      </c>
      <c r="C841" s="276" t="s">
        <v>179</v>
      </c>
      <c r="D841" s="271" t="s">
        <v>502</v>
      </c>
      <c r="E841" s="272">
        <v>30000</v>
      </c>
      <c r="F841" s="272">
        <v>51.466044590867249</v>
      </c>
      <c r="G841" s="282">
        <v>579.64599999999996</v>
      </c>
      <c r="H841" s="274" t="s">
        <v>343</v>
      </c>
      <c r="I841" s="274" t="s">
        <v>1903</v>
      </c>
      <c r="J841" s="274" t="s">
        <v>98</v>
      </c>
      <c r="K841" s="290" t="s">
        <v>205</v>
      </c>
      <c r="L841" s="274" t="s">
        <v>155</v>
      </c>
      <c r="M841" s="270"/>
      <c r="N841" s="270"/>
      <c r="O841" s="270"/>
    </row>
    <row r="842" spans="1:15" hidden="1">
      <c r="A842" s="269">
        <v>45787</v>
      </c>
      <c r="B842" s="270" t="s">
        <v>1904</v>
      </c>
      <c r="C842" s="270" t="s">
        <v>175</v>
      </c>
      <c r="D842" s="271" t="s">
        <v>502</v>
      </c>
      <c r="E842" s="272">
        <v>7000</v>
      </c>
      <c r="F842" s="272">
        <v>12.008743737869025</v>
      </c>
      <c r="G842" s="282">
        <v>579.64599999999996</v>
      </c>
      <c r="H842" s="274" t="s">
        <v>343</v>
      </c>
      <c r="I842" s="274" t="s">
        <v>1905</v>
      </c>
      <c r="J842" s="274" t="s">
        <v>98</v>
      </c>
      <c r="K842" s="290" t="s">
        <v>205</v>
      </c>
      <c r="L842" s="274" t="s">
        <v>155</v>
      </c>
      <c r="M842" s="270"/>
      <c r="N842" s="270"/>
      <c r="O842" s="270"/>
    </row>
    <row r="843" spans="1:15" hidden="1">
      <c r="A843" s="269">
        <v>45787</v>
      </c>
      <c r="B843" s="270" t="s">
        <v>2048</v>
      </c>
      <c r="C843" s="276" t="s">
        <v>179</v>
      </c>
      <c r="D843" s="271" t="s">
        <v>117</v>
      </c>
      <c r="E843" s="272">
        <v>45000</v>
      </c>
      <c r="F843" s="272">
        <v>77.199066886300869</v>
      </c>
      <c r="G843" s="282">
        <v>579.64599999999996</v>
      </c>
      <c r="H843" s="274" t="s">
        <v>497</v>
      </c>
      <c r="I843" s="274" t="s">
        <v>2049</v>
      </c>
      <c r="J843" s="274" t="s">
        <v>98</v>
      </c>
      <c r="K843" s="290" t="s">
        <v>205</v>
      </c>
      <c r="L843" s="274" t="s">
        <v>155</v>
      </c>
      <c r="M843" s="270"/>
      <c r="N843" s="270"/>
      <c r="O843" s="270"/>
    </row>
    <row r="844" spans="1:15" hidden="1">
      <c r="A844" s="269">
        <v>45787</v>
      </c>
      <c r="B844" s="270" t="s">
        <v>2104</v>
      </c>
      <c r="C844" s="276" t="s">
        <v>179</v>
      </c>
      <c r="D844" s="271" t="s">
        <v>117</v>
      </c>
      <c r="E844" s="272">
        <v>45000</v>
      </c>
      <c r="F844" s="272">
        <v>77.199066886300869</v>
      </c>
      <c r="G844" s="282">
        <v>579.64599999999996</v>
      </c>
      <c r="H844" s="274" t="s">
        <v>190</v>
      </c>
      <c r="I844" s="274" t="s">
        <v>2105</v>
      </c>
      <c r="J844" s="274" t="s">
        <v>98</v>
      </c>
      <c r="K844" s="290" t="s">
        <v>205</v>
      </c>
      <c r="L844" s="274" t="s">
        <v>155</v>
      </c>
      <c r="M844" s="270"/>
      <c r="N844" s="270"/>
      <c r="O844" s="270"/>
    </row>
    <row r="845" spans="1:15" hidden="1">
      <c r="A845" s="269">
        <v>45789</v>
      </c>
      <c r="B845" s="270" t="s">
        <v>1723</v>
      </c>
      <c r="C845" s="270" t="s">
        <v>317</v>
      </c>
      <c r="D845" s="270" t="s">
        <v>118</v>
      </c>
      <c r="E845" s="272">
        <v>25000</v>
      </c>
      <c r="F845" s="272">
        <v>42.888370492389377</v>
      </c>
      <c r="G845" s="282">
        <v>579.64599999999996</v>
      </c>
      <c r="H845" s="274" t="s">
        <v>153</v>
      </c>
      <c r="I845" s="293" t="s">
        <v>2147</v>
      </c>
      <c r="J845" s="274" t="s">
        <v>98</v>
      </c>
      <c r="K845" s="290" t="s">
        <v>205</v>
      </c>
      <c r="L845" s="274" t="s">
        <v>155</v>
      </c>
      <c r="M845" s="270"/>
      <c r="N845" s="270"/>
      <c r="O845" s="270"/>
    </row>
    <row r="846" spans="1:15" hidden="1">
      <c r="A846" s="269">
        <v>45789</v>
      </c>
      <c r="B846" s="270" t="s">
        <v>610</v>
      </c>
      <c r="C846" s="276" t="s">
        <v>1321</v>
      </c>
      <c r="D846" s="270" t="s">
        <v>118</v>
      </c>
      <c r="E846" s="272">
        <v>25000</v>
      </c>
      <c r="F846" s="272">
        <v>42.888370492389377</v>
      </c>
      <c r="G846" s="282">
        <v>579.64599999999996</v>
      </c>
      <c r="H846" s="274" t="s">
        <v>193</v>
      </c>
      <c r="I846" s="274" t="s">
        <v>1995</v>
      </c>
      <c r="J846" s="274" t="s">
        <v>98</v>
      </c>
      <c r="K846" s="290" t="s">
        <v>205</v>
      </c>
      <c r="L846" s="274" t="s">
        <v>155</v>
      </c>
      <c r="M846" s="270"/>
      <c r="N846" s="270"/>
      <c r="O846" s="270"/>
    </row>
    <row r="847" spans="1:15" hidden="1">
      <c r="A847" s="269">
        <v>45791</v>
      </c>
      <c r="B847" s="270" t="s">
        <v>1712</v>
      </c>
      <c r="C847" s="270" t="s">
        <v>123</v>
      </c>
      <c r="D847" s="271" t="s">
        <v>117</v>
      </c>
      <c r="E847" s="272">
        <v>500000</v>
      </c>
      <c r="F847" s="272">
        <v>857.76740984778746</v>
      </c>
      <c r="G847" s="282">
        <v>579.64599999999996</v>
      </c>
      <c r="H847" s="274" t="s">
        <v>148</v>
      </c>
      <c r="I847" s="274" t="s">
        <v>2125</v>
      </c>
      <c r="J847" s="274" t="s">
        <v>98</v>
      </c>
      <c r="K847" s="290" t="s">
        <v>205</v>
      </c>
      <c r="L847" s="274" t="s">
        <v>155</v>
      </c>
      <c r="M847" s="270"/>
      <c r="N847" s="270"/>
      <c r="O847" s="270"/>
    </row>
    <row r="848" spans="1:15" hidden="1">
      <c r="A848" s="269">
        <v>45792</v>
      </c>
      <c r="B848" s="270" t="s">
        <v>1811</v>
      </c>
      <c r="C848" s="270" t="s">
        <v>175</v>
      </c>
      <c r="D848" s="271" t="s">
        <v>502</v>
      </c>
      <c r="E848" s="272">
        <v>33000</v>
      </c>
      <c r="F848" s="272">
        <v>56.612649049953973</v>
      </c>
      <c r="G848" s="282">
        <v>579.64599999999996</v>
      </c>
      <c r="H848" s="274" t="s">
        <v>187</v>
      </c>
      <c r="I848" s="275" t="s">
        <v>1812</v>
      </c>
      <c r="J848" s="274" t="s">
        <v>98</v>
      </c>
      <c r="K848" s="290" t="s">
        <v>205</v>
      </c>
      <c r="L848" s="274" t="s">
        <v>155</v>
      </c>
      <c r="M848" s="270"/>
      <c r="N848" s="270"/>
      <c r="O848" s="270"/>
    </row>
    <row r="849" spans="1:15" hidden="1">
      <c r="A849" s="269">
        <v>45792</v>
      </c>
      <c r="B849" s="270" t="s">
        <v>1859</v>
      </c>
      <c r="C849" s="270" t="s">
        <v>175</v>
      </c>
      <c r="D849" s="271" t="s">
        <v>502</v>
      </c>
      <c r="E849" s="272">
        <v>33000</v>
      </c>
      <c r="F849" s="272">
        <v>56.612649049953973</v>
      </c>
      <c r="G849" s="282">
        <v>579.64599999999996</v>
      </c>
      <c r="H849" s="274" t="s">
        <v>176</v>
      </c>
      <c r="I849" s="274" t="s">
        <v>1860</v>
      </c>
      <c r="J849" s="274" t="s">
        <v>98</v>
      </c>
      <c r="K849" s="290" t="s">
        <v>205</v>
      </c>
      <c r="L849" s="274" t="s">
        <v>155</v>
      </c>
      <c r="M849" s="270"/>
      <c r="N849" s="270"/>
      <c r="O849" s="270"/>
    </row>
    <row r="850" spans="1:15" hidden="1">
      <c r="A850" s="269">
        <v>45792</v>
      </c>
      <c r="B850" s="270" t="s">
        <v>1906</v>
      </c>
      <c r="C850" s="270" t="s">
        <v>175</v>
      </c>
      <c r="D850" s="271" t="s">
        <v>502</v>
      </c>
      <c r="E850" s="272">
        <v>10000</v>
      </c>
      <c r="F850" s="272">
        <v>17.15534819695575</v>
      </c>
      <c r="G850" s="282">
        <v>579.64599999999996</v>
      </c>
      <c r="H850" s="274" t="s">
        <v>343</v>
      </c>
      <c r="I850" s="274" t="s">
        <v>1907</v>
      </c>
      <c r="J850" s="274" t="s">
        <v>98</v>
      </c>
      <c r="K850" s="290" t="s">
        <v>205</v>
      </c>
      <c r="L850" s="274" t="s">
        <v>155</v>
      </c>
      <c r="M850" s="270"/>
      <c r="N850" s="270"/>
      <c r="O850" s="270"/>
    </row>
    <row r="851" spans="1:15" hidden="1">
      <c r="A851" s="269">
        <v>45792</v>
      </c>
      <c r="B851" s="270" t="s">
        <v>1945</v>
      </c>
      <c r="C851" s="270" t="s">
        <v>175</v>
      </c>
      <c r="D851" s="271" t="s">
        <v>117</v>
      </c>
      <c r="E851" s="272">
        <v>33000</v>
      </c>
      <c r="F851" s="272">
        <v>56.612649049953973</v>
      </c>
      <c r="G851" s="282">
        <v>579.64599999999996</v>
      </c>
      <c r="H851" s="274" t="s">
        <v>203</v>
      </c>
      <c r="I851" s="275" t="s">
        <v>1946</v>
      </c>
      <c r="J851" s="274" t="s">
        <v>98</v>
      </c>
      <c r="K851" s="290" t="s">
        <v>205</v>
      </c>
      <c r="L851" s="274" t="s">
        <v>155</v>
      </c>
      <c r="M851" s="270"/>
      <c r="N851" s="270"/>
      <c r="O851" s="270"/>
    </row>
    <row r="852" spans="1:15" hidden="1">
      <c r="A852" s="269">
        <v>45792</v>
      </c>
      <c r="B852" s="270" t="s">
        <v>2050</v>
      </c>
      <c r="C852" s="270" t="s">
        <v>199</v>
      </c>
      <c r="D852" s="271" t="s">
        <v>117</v>
      </c>
      <c r="E852" s="272">
        <v>33000</v>
      </c>
      <c r="F852" s="272">
        <v>56.612649049953973</v>
      </c>
      <c r="G852" s="282">
        <v>579.64599999999996</v>
      </c>
      <c r="H852" s="274" t="s">
        <v>497</v>
      </c>
      <c r="I852" s="274" t="s">
        <v>2051</v>
      </c>
      <c r="J852" s="274" t="s">
        <v>98</v>
      </c>
      <c r="K852" s="290" t="s">
        <v>205</v>
      </c>
      <c r="L852" s="274" t="s">
        <v>155</v>
      </c>
      <c r="M852" s="270"/>
      <c r="N852" s="270"/>
      <c r="O852" s="270"/>
    </row>
    <row r="853" spans="1:15" hidden="1">
      <c r="A853" s="299">
        <v>45792</v>
      </c>
      <c r="B853" s="270" t="s">
        <v>1710</v>
      </c>
      <c r="C853" s="270" t="s">
        <v>125</v>
      </c>
      <c r="D853" s="270"/>
      <c r="E853" s="270"/>
      <c r="F853" s="308"/>
      <c r="G853" s="302">
        <f>+M853/N853</f>
        <v>560.94248000000005</v>
      </c>
      <c r="H853" s="270" t="s">
        <v>148</v>
      </c>
      <c r="I853" s="270" t="s">
        <v>2126</v>
      </c>
      <c r="J853" s="309" t="s">
        <v>98</v>
      </c>
      <c r="K853" s="310" t="s">
        <v>2150</v>
      </c>
      <c r="L853" s="309" t="s">
        <v>155</v>
      </c>
      <c r="M853" s="270">
        <v>14023562</v>
      </c>
      <c r="N853" s="270">
        <v>25000</v>
      </c>
      <c r="O853" s="270"/>
    </row>
    <row r="854" spans="1:15" hidden="1">
      <c r="A854" s="269">
        <v>45792</v>
      </c>
      <c r="B854" s="270" t="s">
        <v>1757</v>
      </c>
      <c r="C854" s="270" t="s">
        <v>152</v>
      </c>
      <c r="D854" s="271" t="s">
        <v>117</v>
      </c>
      <c r="E854" s="272">
        <v>10000</v>
      </c>
      <c r="F854" s="272">
        <v>17.15534819695575</v>
      </c>
      <c r="G854" s="282">
        <v>579.64599999999996</v>
      </c>
      <c r="H854" s="274" t="s">
        <v>153</v>
      </c>
      <c r="I854" s="293" t="s">
        <v>1937</v>
      </c>
      <c r="J854" s="274" t="s">
        <v>98</v>
      </c>
      <c r="K854" s="290" t="s">
        <v>205</v>
      </c>
      <c r="L854" s="274" t="s">
        <v>155</v>
      </c>
      <c r="M854" s="270"/>
      <c r="N854" s="270"/>
      <c r="O854" s="270"/>
    </row>
    <row r="855" spans="1:15" hidden="1">
      <c r="A855" s="269">
        <v>45792</v>
      </c>
      <c r="B855" s="270" t="s">
        <v>1947</v>
      </c>
      <c r="C855" s="276" t="s">
        <v>179</v>
      </c>
      <c r="D855" s="271" t="s">
        <v>117</v>
      </c>
      <c r="E855" s="272">
        <v>200000</v>
      </c>
      <c r="F855" s="272">
        <v>343.10696393911502</v>
      </c>
      <c r="G855" s="282">
        <v>579.64599999999996</v>
      </c>
      <c r="H855" s="274" t="s">
        <v>203</v>
      </c>
      <c r="I855" s="275" t="s">
        <v>1948</v>
      </c>
      <c r="J855" s="274" t="s">
        <v>98</v>
      </c>
      <c r="K855" s="290" t="s">
        <v>205</v>
      </c>
      <c r="L855" s="274" t="s">
        <v>155</v>
      </c>
      <c r="M855" s="270"/>
      <c r="N855" s="270"/>
      <c r="O855" s="270"/>
    </row>
    <row r="856" spans="1:15" hidden="1">
      <c r="A856" s="269">
        <v>45792</v>
      </c>
      <c r="B856" s="270" t="s">
        <v>1754</v>
      </c>
      <c r="C856" s="270" t="s">
        <v>152</v>
      </c>
      <c r="D856" s="271" t="s">
        <v>117</v>
      </c>
      <c r="E856" s="272">
        <v>5000</v>
      </c>
      <c r="F856" s="272">
        <v>8.5776740984778748</v>
      </c>
      <c r="G856" s="282">
        <v>579.64599999999996</v>
      </c>
      <c r="H856" s="274" t="s">
        <v>203</v>
      </c>
      <c r="I856" s="275" t="s">
        <v>1949</v>
      </c>
      <c r="J856" s="274" t="s">
        <v>98</v>
      </c>
      <c r="K856" s="290" t="s">
        <v>205</v>
      </c>
      <c r="L856" s="274" t="s">
        <v>155</v>
      </c>
      <c r="M856" s="270"/>
      <c r="N856" s="270"/>
      <c r="O856" s="270"/>
    </row>
    <row r="857" spans="1:15" hidden="1">
      <c r="A857" s="269">
        <v>45792</v>
      </c>
      <c r="B857" s="270" t="s">
        <v>1755</v>
      </c>
      <c r="C857" s="270" t="s">
        <v>152</v>
      </c>
      <c r="D857" s="271" t="s">
        <v>117</v>
      </c>
      <c r="E857" s="272">
        <v>5000</v>
      </c>
      <c r="F857" s="272">
        <v>8.5776740984778748</v>
      </c>
      <c r="G857" s="282">
        <v>579.64599999999996</v>
      </c>
      <c r="H857" s="274" t="s">
        <v>203</v>
      </c>
      <c r="I857" s="275" t="s">
        <v>1950</v>
      </c>
      <c r="J857" s="274" t="s">
        <v>98</v>
      </c>
      <c r="K857" s="290" t="s">
        <v>205</v>
      </c>
      <c r="L857" s="274" t="s">
        <v>155</v>
      </c>
      <c r="M857" s="270"/>
      <c r="N857" s="270"/>
      <c r="O857" s="270"/>
    </row>
    <row r="858" spans="1:15" hidden="1">
      <c r="A858" s="269">
        <v>45792</v>
      </c>
      <c r="B858" s="270" t="s">
        <v>1758</v>
      </c>
      <c r="C858" s="270" t="s">
        <v>152</v>
      </c>
      <c r="D858" s="271" t="s">
        <v>117</v>
      </c>
      <c r="E858" s="272">
        <v>10000</v>
      </c>
      <c r="F858" s="272">
        <v>17.15534819695575</v>
      </c>
      <c r="G858" s="282">
        <v>579.64599999999996</v>
      </c>
      <c r="H858" s="274" t="s">
        <v>643</v>
      </c>
      <c r="I858" s="274" t="s">
        <v>1989</v>
      </c>
      <c r="J858" s="274" t="s">
        <v>98</v>
      </c>
      <c r="K858" s="290" t="s">
        <v>205</v>
      </c>
      <c r="L858" s="274" t="s">
        <v>155</v>
      </c>
      <c r="M858" s="270"/>
      <c r="N858" s="270"/>
      <c r="O858" s="270"/>
    </row>
    <row r="859" spans="1:15" hidden="1">
      <c r="A859" s="269">
        <v>45792</v>
      </c>
      <c r="B859" s="270" t="s">
        <v>1813</v>
      </c>
      <c r="C859" s="276" t="s">
        <v>179</v>
      </c>
      <c r="D859" s="271" t="s">
        <v>502</v>
      </c>
      <c r="E859" s="272">
        <v>210000</v>
      </c>
      <c r="F859" s="272">
        <v>360.26231213607076</v>
      </c>
      <c r="G859" s="282">
        <v>579.64599999999996</v>
      </c>
      <c r="H859" s="274" t="s">
        <v>187</v>
      </c>
      <c r="I859" s="275" t="s">
        <v>1814</v>
      </c>
      <c r="J859" s="274" t="s">
        <v>98</v>
      </c>
      <c r="K859" s="290" t="s">
        <v>205</v>
      </c>
      <c r="L859" s="274" t="s">
        <v>155</v>
      </c>
      <c r="M859" s="270"/>
      <c r="N859" s="270"/>
      <c r="O859" s="270"/>
    </row>
    <row r="860" spans="1:15" hidden="1">
      <c r="A860" s="269">
        <v>45792</v>
      </c>
      <c r="B860" s="270" t="s">
        <v>1753</v>
      </c>
      <c r="C860" s="270" t="s">
        <v>152</v>
      </c>
      <c r="D860" s="271" t="s">
        <v>502</v>
      </c>
      <c r="E860" s="272">
        <v>10000</v>
      </c>
      <c r="F860" s="272">
        <v>17.15534819695575</v>
      </c>
      <c r="G860" s="282">
        <v>579.64599999999996</v>
      </c>
      <c r="H860" s="274" t="s">
        <v>187</v>
      </c>
      <c r="I860" s="275" t="s">
        <v>1839</v>
      </c>
      <c r="J860" s="274" t="s">
        <v>98</v>
      </c>
      <c r="K860" s="290" t="s">
        <v>205</v>
      </c>
      <c r="L860" s="274" t="s">
        <v>155</v>
      </c>
      <c r="M860" s="270"/>
      <c r="N860" s="270"/>
      <c r="O860" s="270"/>
    </row>
    <row r="861" spans="1:15" hidden="1">
      <c r="A861" s="269">
        <v>45792</v>
      </c>
      <c r="B861" s="270" t="s">
        <v>1756</v>
      </c>
      <c r="C861" s="270" t="s">
        <v>152</v>
      </c>
      <c r="D861" s="271" t="s">
        <v>502</v>
      </c>
      <c r="E861" s="272">
        <v>5000</v>
      </c>
      <c r="F861" s="272">
        <v>8.5776740984778748</v>
      </c>
      <c r="G861" s="282">
        <v>579.64599999999996</v>
      </c>
      <c r="H861" s="274" t="s">
        <v>187</v>
      </c>
      <c r="I861" s="275" t="s">
        <v>1840</v>
      </c>
      <c r="J861" s="274" t="s">
        <v>98</v>
      </c>
      <c r="K861" s="290" t="s">
        <v>205</v>
      </c>
      <c r="L861" s="274" t="s">
        <v>155</v>
      </c>
      <c r="M861" s="270"/>
      <c r="N861" s="270"/>
      <c r="O861" s="270"/>
    </row>
    <row r="862" spans="1:15" hidden="1">
      <c r="A862" s="269">
        <v>45792</v>
      </c>
      <c r="B862" s="270" t="s">
        <v>1861</v>
      </c>
      <c r="C862" s="276" t="s">
        <v>179</v>
      </c>
      <c r="D862" s="271" t="s">
        <v>502</v>
      </c>
      <c r="E862" s="272">
        <v>210000</v>
      </c>
      <c r="F862" s="272">
        <v>360.26231213607076</v>
      </c>
      <c r="G862" s="282">
        <v>579.64599999999996</v>
      </c>
      <c r="H862" s="274" t="s">
        <v>176</v>
      </c>
      <c r="I862" s="274" t="s">
        <v>1862</v>
      </c>
      <c r="J862" s="274" t="s">
        <v>98</v>
      </c>
      <c r="K862" s="290" t="s">
        <v>205</v>
      </c>
      <c r="L862" s="274" t="s">
        <v>155</v>
      </c>
      <c r="M862" s="270"/>
      <c r="N862" s="270"/>
      <c r="O862" s="270"/>
    </row>
    <row r="863" spans="1:15" hidden="1">
      <c r="A863" s="269">
        <v>45792</v>
      </c>
      <c r="B863" s="270" t="s">
        <v>1863</v>
      </c>
      <c r="C863" s="276" t="s">
        <v>179</v>
      </c>
      <c r="D863" s="271" t="s">
        <v>502</v>
      </c>
      <c r="E863" s="272">
        <v>15000</v>
      </c>
      <c r="F863" s="272">
        <v>25.733022295433624</v>
      </c>
      <c r="G863" s="282">
        <v>579.64599999999996</v>
      </c>
      <c r="H863" s="274" t="s">
        <v>176</v>
      </c>
      <c r="I863" s="274" t="s">
        <v>1864</v>
      </c>
      <c r="J863" s="274" t="s">
        <v>98</v>
      </c>
      <c r="K863" s="290" t="s">
        <v>205</v>
      </c>
      <c r="L863" s="274" t="s">
        <v>155</v>
      </c>
      <c r="M863" s="270"/>
      <c r="N863" s="270"/>
      <c r="O863" s="270"/>
    </row>
    <row r="864" spans="1:15" hidden="1">
      <c r="A864" s="269">
        <v>45792</v>
      </c>
      <c r="B864" s="270" t="s">
        <v>1753</v>
      </c>
      <c r="C864" s="270" t="s">
        <v>152</v>
      </c>
      <c r="D864" s="271" t="s">
        <v>502</v>
      </c>
      <c r="E864" s="272">
        <v>15000</v>
      </c>
      <c r="F864" s="272">
        <v>25.733022295433624</v>
      </c>
      <c r="G864" s="282">
        <v>579.64599999999996</v>
      </c>
      <c r="H864" s="274" t="s">
        <v>176</v>
      </c>
      <c r="I864" s="274" t="s">
        <v>1884</v>
      </c>
      <c r="J864" s="274" t="s">
        <v>98</v>
      </c>
      <c r="K864" s="290" t="s">
        <v>205</v>
      </c>
      <c r="L864" s="274" t="s">
        <v>155</v>
      </c>
      <c r="M864" s="270"/>
      <c r="N864" s="270"/>
      <c r="O864" s="270"/>
    </row>
    <row r="865" spans="1:15" hidden="1">
      <c r="A865" s="269">
        <v>45792</v>
      </c>
      <c r="B865" s="270" t="s">
        <v>1908</v>
      </c>
      <c r="C865" s="276" t="s">
        <v>179</v>
      </c>
      <c r="D865" s="271" t="s">
        <v>502</v>
      </c>
      <c r="E865" s="272">
        <v>80000</v>
      </c>
      <c r="F865" s="272">
        <v>137.242785575646</v>
      </c>
      <c r="G865" s="282">
        <v>579.64599999999996</v>
      </c>
      <c r="H865" s="274" t="s">
        <v>343</v>
      </c>
      <c r="I865" s="274" t="s">
        <v>1909</v>
      </c>
      <c r="J865" s="274" t="s">
        <v>98</v>
      </c>
      <c r="K865" s="290" t="s">
        <v>205</v>
      </c>
      <c r="L865" s="274" t="s">
        <v>155</v>
      </c>
      <c r="M865" s="270"/>
      <c r="N865" s="270"/>
      <c r="O865" s="270"/>
    </row>
    <row r="866" spans="1:15" hidden="1">
      <c r="A866" s="269">
        <v>45792</v>
      </c>
      <c r="B866" s="270" t="s">
        <v>1753</v>
      </c>
      <c r="C866" s="270" t="s">
        <v>152</v>
      </c>
      <c r="D866" s="271" t="s">
        <v>502</v>
      </c>
      <c r="E866" s="272">
        <v>5000</v>
      </c>
      <c r="F866" s="272">
        <v>8.5776740984778748</v>
      </c>
      <c r="G866" s="282">
        <v>579.64599999999996</v>
      </c>
      <c r="H866" s="274" t="s">
        <v>343</v>
      </c>
      <c r="I866" s="274" t="s">
        <v>1931</v>
      </c>
      <c r="J866" s="274" t="s">
        <v>98</v>
      </c>
      <c r="K866" s="290" t="s">
        <v>205</v>
      </c>
      <c r="L866" s="274" t="s">
        <v>155</v>
      </c>
      <c r="M866" s="270"/>
      <c r="N866" s="270"/>
      <c r="O866" s="270"/>
    </row>
    <row r="867" spans="1:15" hidden="1">
      <c r="A867" s="269">
        <v>45792</v>
      </c>
      <c r="B867" s="270" t="s">
        <v>1756</v>
      </c>
      <c r="C867" s="270" t="s">
        <v>152</v>
      </c>
      <c r="D867" s="271" t="s">
        <v>502</v>
      </c>
      <c r="E867" s="272">
        <v>10000</v>
      </c>
      <c r="F867" s="272">
        <v>17.15534819695575</v>
      </c>
      <c r="G867" s="282">
        <v>579.64599999999996</v>
      </c>
      <c r="H867" s="274" t="s">
        <v>343</v>
      </c>
      <c r="I867" s="274" t="s">
        <v>1932</v>
      </c>
      <c r="J867" s="274" t="s">
        <v>98</v>
      </c>
      <c r="K867" s="290" t="s">
        <v>205</v>
      </c>
      <c r="L867" s="274" t="s">
        <v>155</v>
      </c>
      <c r="M867" s="270"/>
      <c r="N867" s="270"/>
      <c r="O867" s="270"/>
    </row>
    <row r="868" spans="1:15" hidden="1">
      <c r="A868" s="269">
        <v>45792</v>
      </c>
      <c r="B868" s="270" t="s">
        <v>1754</v>
      </c>
      <c r="C868" s="270" t="s">
        <v>152</v>
      </c>
      <c r="D868" s="271" t="s">
        <v>117</v>
      </c>
      <c r="E868" s="272">
        <v>5000</v>
      </c>
      <c r="F868" s="272">
        <v>8.5776740984778748</v>
      </c>
      <c r="G868" s="282">
        <v>579.64599999999996</v>
      </c>
      <c r="H868" s="274" t="s">
        <v>193</v>
      </c>
      <c r="I868" s="274" t="s">
        <v>2002</v>
      </c>
      <c r="J868" s="274" t="s">
        <v>98</v>
      </c>
      <c r="K868" s="290" t="s">
        <v>205</v>
      </c>
      <c r="L868" s="274" t="s">
        <v>155</v>
      </c>
      <c r="M868" s="270"/>
      <c r="N868" s="270"/>
      <c r="O868" s="270"/>
    </row>
    <row r="869" spans="1:15" hidden="1">
      <c r="A869" s="269">
        <v>45792</v>
      </c>
      <c r="B869" s="270" t="s">
        <v>1755</v>
      </c>
      <c r="C869" s="270" t="s">
        <v>152</v>
      </c>
      <c r="D869" s="271" t="s">
        <v>117</v>
      </c>
      <c r="E869" s="272">
        <v>5000</v>
      </c>
      <c r="F869" s="272">
        <v>8.5776740984778748</v>
      </c>
      <c r="G869" s="282">
        <v>579.64599999999996</v>
      </c>
      <c r="H869" s="274" t="s">
        <v>193</v>
      </c>
      <c r="I869" s="274" t="s">
        <v>2003</v>
      </c>
      <c r="J869" s="274" t="s">
        <v>98</v>
      </c>
      <c r="K869" s="290" t="s">
        <v>205</v>
      </c>
      <c r="L869" s="274" t="s">
        <v>155</v>
      </c>
      <c r="M869" s="270"/>
      <c r="N869" s="270"/>
      <c r="O869" s="270"/>
    </row>
    <row r="870" spans="1:15" hidden="1">
      <c r="A870" s="269">
        <v>45792</v>
      </c>
      <c r="B870" s="270" t="s">
        <v>1754</v>
      </c>
      <c r="C870" s="270" t="s">
        <v>152</v>
      </c>
      <c r="D870" s="271" t="s">
        <v>117</v>
      </c>
      <c r="E870" s="272">
        <v>10000</v>
      </c>
      <c r="F870" s="272">
        <v>17.15534819695575</v>
      </c>
      <c r="G870" s="282">
        <v>579.64599999999996</v>
      </c>
      <c r="H870" s="274" t="s">
        <v>196</v>
      </c>
      <c r="I870" s="274" t="s">
        <v>2026</v>
      </c>
      <c r="J870" s="274" t="s">
        <v>98</v>
      </c>
      <c r="K870" s="290" t="s">
        <v>205</v>
      </c>
      <c r="L870" s="274" t="s">
        <v>155</v>
      </c>
      <c r="M870" s="270"/>
      <c r="N870" s="270"/>
      <c r="O870" s="270"/>
    </row>
    <row r="871" spans="1:15" hidden="1">
      <c r="A871" s="269">
        <v>45792</v>
      </c>
      <c r="B871" s="270" t="s">
        <v>2052</v>
      </c>
      <c r="C871" s="276" t="s">
        <v>179</v>
      </c>
      <c r="D871" s="271" t="s">
        <v>117</v>
      </c>
      <c r="E871" s="272">
        <v>200000</v>
      </c>
      <c r="F871" s="272">
        <v>343.10696393911502</v>
      </c>
      <c r="G871" s="282">
        <v>579.64599999999996</v>
      </c>
      <c r="H871" s="274" t="s">
        <v>497</v>
      </c>
      <c r="I871" s="274" t="s">
        <v>2053</v>
      </c>
      <c r="J871" s="274" t="s">
        <v>98</v>
      </c>
      <c r="K871" s="290" t="s">
        <v>205</v>
      </c>
      <c r="L871" s="274" t="s">
        <v>155</v>
      </c>
      <c r="M871" s="270"/>
      <c r="N871" s="270"/>
      <c r="O871" s="270"/>
    </row>
    <row r="872" spans="1:15" hidden="1">
      <c r="A872" s="269">
        <v>45792</v>
      </c>
      <c r="B872" s="270" t="s">
        <v>1754</v>
      </c>
      <c r="C872" s="270" t="s">
        <v>152</v>
      </c>
      <c r="D872" s="271" t="s">
        <v>117</v>
      </c>
      <c r="E872" s="272">
        <v>10000</v>
      </c>
      <c r="F872" s="272">
        <v>17.15534819695575</v>
      </c>
      <c r="G872" s="282">
        <v>579.64599999999996</v>
      </c>
      <c r="H872" s="274" t="s">
        <v>497</v>
      </c>
      <c r="I872" s="274" t="s">
        <v>2054</v>
      </c>
      <c r="J872" s="274" t="s">
        <v>98</v>
      </c>
      <c r="K872" s="290" t="s">
        <v>205</v>
      </c>
      <c r="L872" s="274" t="s">
        <v>155</v>
      </c>
      <c r="M872" s="270"/>
      <c r="N872" s="270"/>
      <c r="O872" s="270"/>
    </row>
    <row r="873" spans="1:15" hidden="1">
      <c r="A873" s="269">
        <v>45792</v>
      </c>
      <c r="B873" s="270" t="s">
        <v>1754</v>
      </c>
      <c r="C873" s="270" t="s">
        <v>152</v>
      </c>
      <c r="D873" s="271" t="s">
        <v>117</v>
      </c>
      <c r="E873" s="272">
        <v>10000</v>
      </c>
      <c r="F873" s="272">
        <v>17.15534819695575</v>
      </c>
      <c r="G873" s="282">
        <v>579.64599999999996</v>
      </c>
      <c r="H873" s="274" t="s">
        <v>190</v>
      </c>
      <c r="I873" s="274" t="s">
        <v>2106</v>
      </c>
      <c r="J873" s="274" t="s">
        <v>98</v>
      </c>
      <c r="K873" s="290" t="s">
        <v>205</v>
      </c>
      <c r="L873" s="274" t="s">
        <v>155</v>
      </c>
      <c r="M873" s="270"/>
      <c r="N873" s="270"/>
      <c r="O873" s="270"/>
    </row>
    <row r="874" spans="1:15" hidden="1">
      <c r="A874" s="269">
        <v>45793</v>
      </c>
      <c r="B874" s="270" t="s">
        <v>1951</v>
      </c>
      <c r="C874" s="276" t="s">
        <v>179</v>
      </c>
      <c r="D874" s="271" t="s">
        <v>117</v>
      </c>
      <c r="E874" s="272">
        <v>15000</v>
      </c>
      <c r="F874" s="272">
        <v>25.733022295433624</v>
      </c>
      <c r="G874" s="282">
        <v>579.64599999999996</v>
      </c>
      <c r="H874" s="274" t="s">
        <v>203</v>
      </c>
      <c r="I874" s="275" t="s">
        <v>1952</v>
      </c>
      <c r="J874" s="274" t="s">
        <v>98</v>
      </c>
      <c r="K874" s="290" t="s">
        <v>205</v>
      </c>
      <c r="L874" s="274" t="s">
        <v>155</v>
      </c>
      <c r="M874" s="270"/>
      <c r="N874" s="270"/>
      <c r="O874" s="270"/>
    </row>
    <row r="875" spans="1:15" hidden="1">
      <c r="A875" s="269">
        <v>45793</v>
      </c>
      <c r="B875" s="270" t="s">
        <v>1815</v>
      </c>
      <c r="C875" s="276" t="s">
        <v>179</v>
      </c>
      <c r="D875" s="271" t="s">
        <v>502</v>
      </c>
      <c r="E875" s="272">
        <v>15000</v>
      </c>
      <c r="F875" s="272">
        <v>25.733022295433624</v>
      </c>
      <c r="G875" s="282">
        <v>579.64599999999996</v>
      </c>
      <c r="H875" s="274" t="s">
        <v>187</v>
      </c>
      <c r="I875" s="275" t="s">
        <v>1816</v>
      </c>
      <c r="J875" s="274" t="s">
        <v>98</v>
      </c>
      <c r="K875" s="290" t="s">
        <v>205</v>
      </c>
      <c r="L875" s="274" t="s">
        <v>155</v>
      </c>
      <c r="M875" s="270"/>
      <c r="N875" s="270"/>
      <c r="O875" s="270"/>
    </row>
    <row r="876" spans="1:15" hidden="1">
      <c r="A876" s="269">
        <v>45793</v>
      </c>
      <c r="B876" s="270" t="s">
        <v>2055</v>
      </c>
      <c r="C876" s="276" t="s">
        <v>179</v>
      </c>
      <c r="D876" s="271" t="s">
        <v>117</v>
      </c>
      <c r="E876" s="272">
        <v>15000</v>
      </c>
      <c r="F876" s="272">
        <v>25.733022295433624</v>
      </c>
      <c r="G876" s="282">
        <v>579.64599999999996</v>
      </c>
      <c r="H876" s="274" t="s">
        <v>497</v>
      </c>
      <c r="I876" s="274" t="s">
        <v>2056</v>
      </c>
      <c r="J876" s="274" t="s">
        <v>98</v>
      </c>
      <c r="K876" s="290" t="s">
        <v>205</v>
      </c>
      <c r="L876" s="274" t="s">
        <v>155</v>
      </c>
      <c r="M876" s="270"/>
      <c r="N876" s="270"/>
      <c r="O876" s="270"/>
    </row>
    <row r="877" spans="1:15" hidden="1">
      <c r="A877" s="269">
        <v>45796</v>
      </c>
      <c r="B877" s="270" t="s">
        <v>1865</v>
      </c>
      <c r="C877" s="276" t="s">
        <v>179</v>
      </c>
      <c r="D877" s="271" t="s">
        <v>502</v>
      </c>
      <c r="E877" s="272">
        <v>45000</v>
      </c>
      <c r="F877" s="272">
        <v>77.199066886300869</v>
      </c>
      <c r="G877" s="282">
        <v>579.64599999999996</v>
      </c>
      <c r="H877" s="274" t="s">
        <v>176</v>
      </c>
      <c r="I877" s="274" t="s">
        <v>1866</v>
      </c>
      <c r="J877" s="274" t="s">
        <v>98</v>
      </c>
      <c r="K877" s="290" t="s">
        <v>205</v>
      </c>
      <c r="L877" s="274" t="s">
        <v>155</v>
      </c>
      <c r="M877" s="270"/>
      <c r="N877" s="270"/>
      <c r="O877" s="270"/>
    </row>
    <row r="878" spans="1:15" hidden="1">
      <c r="A878" s="269">
        <v>45796</v>
      </c>
      <c r="B878" s="270" t="s">
        <v>1910</v>
      </c>
      <c r="C878" s="276" t="s">
        <v>179</v>
      </c>
      <c r="D878" s="271" t="s">
        <v>502</v>
      </c>
      <c r="E878" s="272">
        <v>60000</v>
      </c>
      <c r="F878" s="272">
        <v>102.9320891817345</v>
      </c>
      <c r="G878" s="282">
        <v>579.64599999999996</v>
      </c>
      <c r="H878" s="274" t="s">
        <v>343</v>
      </c>
      <c r="I878" s="274" t="s">
        <v>1911</v>
      </c>
      <c r="J878" s="274" t="s">
        <v>98</v>
      </c>
      <c r="K878" s="290" t="s">
        <v>205</v>
      </c>
      <c r="L878" s="274" t="s">
        <v>155</v>
      </c>
      <c r="M878" s="270"/>
      <c r="N878" s="270"/>
      <c r="O878" s="270"/>
    </row>
    <row r="879" spans="1:15" hidden="1">
      <c r="A879" s="269">
        <v>45796</v>
      </c>
      <c r="B879" s="270" t="s">
        <v>1912</v>
      </c>
      <c r="C879" s="270" t="s">
        <v>175</v>
      </c>
      <c r="D879" s="271" t="s">
        <v>502</v>
      </c>
      <c r="E879" s="272">
        <v>7000</v>
      </c>
      <c r="F879" s="272">
        <v>12.008743737869025</v>
      </c>
      <c r="G879" s="282">
        <v>579.64599999999996</v>
      </c>
      <c r="H879" s="274" t="s">
        <v>343</v>
      </c>
      <c r="I879" s="274" t="s">
        <v>1913</v>
      </c>
      <c r="J879" s="274" t="s">
        <v>98</v>
      </c>
      <c r="K879" s="290" t="s">
        <v>205</v>
      </c>
      <c r="L879" s="274" t="s">
        <v>155</v>
      </c>
      <c r="M879" s="270"/>
      <c r="N879" s="270"/>
      <c r="O879" s="270"/>
    </row>
    <row r="880" spans="1:15" hidden="1">
      <c r="A880" s="269">
        <v>45796</v>
      </c>
      <c r="B880" s="270" t="s">
        <v>1724</v>
      </c>
      <c r="C880" s="277" t="s">
        <v>2342</v>
      </c>
      <c r="D880" s="270" t="s">
        <v>118</v>
      </c>
      <c r="E880" s="272">
        <v>23970</v>
      </c>
      <c r="F880" s="272">
        <v>41.121369628102933</v>
      </c>
      <c r="G880" s="282">
        <v>579.64599999999996</v>
      </c>
      <c r="H880" s="274" t="s">
        <v>193</v>
      </c>
      <c r="I880" s="274" t="s">
        <v>1996</v>
      </c>
      <c r="J880" s="274" t="s">
        <v>98</v>
      </c>
      <c r="K880" s="290" t="s">
        <v>205</v>
      </c>
      <c r="L880" s="274" t="s">
        <v>155</v>
      </c>
      <c r="M880" s="270"/>
      <c r="N880" s="270"/>
      <c r="O880" s="270"/>
    </row>
    <row r="881" spans="1:15" hidden="1">
      <c r="A881" s="269">
        <v>45796</v>
      </c>
      <c r="B881" s="270" t="s">
        <v>1725</v>
      </c>
      <c r="C881" s="276" t="s">
        <v>1726</v>
      </c>
      <c r="D881" s="270" t="s">
        <v>118</v>
      </c>
      <c r="E881" s="272">
        <v>42000</v>
      </c>
      <c r="F881" s="272">
        <v>72.052462427214152</v>
      </c>
      <c r="G881" s="282">
        <v>579.64599999999996</v>
      </c>
      <c r="H881" s="274" t="s">
        <v>190</v>
      </c>
      <c r="I881" s="274" t="s">
        <v>2018</v>
      </c>
      <c r="J881" s="274" t="s">
        <v>98</v>
      </c>
      <c r="K881" s="290" t="s">
        <v>205</v>
      </c>
      <c r="L881" s="274" t="s">
        <v>155</v>
      </c>
      <c r="M881" s="270"/>
      <c r="N881" s="270"/>
      <c r="O881" s="270"/>
    </row>
    <row r="882" spans="1:15" hidden="1">
      <c r="A882" s="269">
        <v>45797</v>
      </c>
      <c r="B882" s="270" t="s">
        <v>1817</v>
      </c>
      <c r="C882" s="270" t="s">
        <v>175</v>
      </c>
      <c r="D882" s="271" t="s">
        <v>502</v>
      </c>
      <c r="E882" s="272">
        <v>10000</v>
      </c>
      <c r="F882" s="272">
        <v>17.15534819695575</v>
      </c>
      <c r="G882" s="282">
        <v>579.64599999999996</v>
      </c>
      <c r="H882" s="274" t="s">
        <v>187</v>
      </c>
      <c r="I882" s="275" t="s">
        <v>1818</v>
      </c>
      <c r="J882" s="274" t="s">
        <v>98</v>
      </c>
      <c r="K882" s="290" t="s">
        <v>205</v>
      </c>
      <c r="L882" s="274" t="s">
        <v>155</v>
      </c>
      <c r="M882" s="270"/>
      <c r="N882" s="270"/>
      <c r="O882" s="270"/>
    </row>
    <row r="883" spans="1:15" hidden="1">
      <c r="A883" s="269">
        <v>45797</v>
      </c>
      <c r="B883" s="270" t="s">
        <v>1819</v>
      </c>
      <c r="C883" s="270" t="s">
        <v>175</v>
      </c>
      <c r="D883" s="271" t="s">
        <v>502</v>
      </c>
      <c r="E883" s="272">
        <v>10000</v>
      </c>
      <c r="F883" s="272">
        <v>17.15534819695575</v>
      </c>
      <c r="G883" s="282">
        <v>579.64599999999996</v>
      </c>
      <c r="H883" s="274" t="s">
        <v>187</v>
      </c>
      <c r="I883" s="275" t="s">
        <v>1820</v>
      </c>
      <c r="J883" s="274" t="s">
        <v>98</v>
      </c>
      <c r="K883" s="290" t="s">
        <v>205</v>
      </c>
      <c r="L883" s="274" t="s">
        <v>155</v>
      </c>
      <c r="M883" s="270"/>
      <c r="N883" s="270"/>
      <c r="O883" s="270"/>
    </row>
    <row r="884" spans="1:15" hidden="1">
      <c r="A884" s="269">
        <v>45797</v>
      </c>
      <c r="B884" s="270" t="s">
        <v>1867</v>
      </c>
      <c r="C884" s="270" t="s">
        <v>1142</v>
      </c>
      <c r="D884" s="271" t="s">
        <v>502</v>
      </c>
      <c r="E884" s="272">
        <v>10000</v>
      </c>
      <c r="F884" s="272">
        <v>17.15534819695575</v>
      </c>
      <c r="G884" s="282">
        <v>579.64599999999996</v>
      </c>
      <c r="H884" s="274" t="s">
        <v>176</v>
      </c>
      <c r="I884" s="274" t="s">
        <v>1868</v>
      </c>
      <c r="J884" s="274" t="s">
        <v>98</v>
      </c>
      <c r="K884" s="290" t="s">
        <v>205</v>
      </c>
      <c r="L884" s="274" t="s">
        <v>155</v>
      </c>
      <c r="M884" s="270"/>
      <c r="N884" s="270"/>
      <c r="O884" s="270"/>
    </row>
    <row r="885" spans="1:15" hidden="1">
      <c r="A885" s="269">
        <v>45797</v>
      </c>
      <c r="B885" s="270" t="s">
        <v>832</v>
      </c>
      <c r="C885" s="270" t="s">
        <v>175</v>
      </c>
      <c r="D885" s="271" t="s">
        <v>502</v>
      </c>
      <c r="E885" s="272">
        <v>9000</v>
      </c>
      <c r="F885" s="272">
        <v>15.439813377260174</v>
      </c>
      <c r="G885" s="282">
        <v>579.64599999999996</v>
      </c>
      <c r="H885" s="274" t="s">
        <v>332</v>
      </c>
      <c r="I885" s="274" t="s">
        <v>1771</v>
      </c>
      <c r="J885" s="274" t="s">
        <v>98</v>
      </c>
      <c r="K885" s="290" t="s">
        <v>205</v>
      </c>
      <c r="L885" s="274" t="s">
        <v>155</v>
      </c>
      <c r="M885" s="270"/>
      <c r="N885" s="270"/>
      <c r="O885" s="270"/>
    </row>
    <row r="886" spans="1:15" hidden="1">
      <c r="A886" s="269">
        <v>45797</v>
      </c>
      <c r="B886" s="270" t="s">
        <v>1752</v>
      </c>
      <c r="C886" s="270" t="s">
        <v>152</v>
      </c>
      <c r="D886" s="271" t="s">
        <v>502</v>
      </c>
      <c r="E886" s="272">
        <v>10000</v>
      </c>
      <c r="F886" s="272">
        <v>17.827139780891613</v>
      </c>
      <c r="G886" s="282">
        <v>579.64599999999996</v>
      </c>
      <c r="H886" s="274" t="s">
        <v>332</v>
      </c>
      <c r="I886" s="274" t="s">
        <v>1793</v>
      </c>
      <c r="J886" s="274" t="s">
        <v>98</v>
      </c>
      <c r="K886" s="290" t="s">
        <v>205</v>
      </c>
      <c r="L886" s="274" t="s">
        <v>155</v>
      </c>
      <c r="M886" s="270"/>
      <c r="N886" s="270"/>
      <c r="O886" s="270"/>
    </row>
    <row r="887" spans="1:15" hidden="1">
      <c r="A887" s="269">
        <v>45797</v>
      </c>
      <c r="B887" s="270" t="s">
        <v>2004</v>
      </c>
      <c r="C887" s="270" t="s">
        <v>175</v>
      </c>
      <c r="D887" s="271" t="s">
        <v>117</v>
      </c>
      <c r="E887" s="272">
        <v>10000</v>
      </c>
      <c r="F887" s="272">
        <v>17.827139780891613</v>
      </c>
      <c r="G887" s="282">
        <v>579.64599999999996</v>
      </c>
      <c r="H887" s="274" t="s">
        <v>193</v>
      </c>
      <c r="I887" s="274" t="s">
        <v>2005</v>
      </c>
      <c r="J887" s="274" t="s">
        <v>98</v>
      </c>
      <c r="K887" s="290" t="s">
        <v>205</v>
      </c>
      <c r="L887" s="274" t="s">
        <v>155</v>
      </c>
      <c r="M887" s="270"/>
      <c r="N887" s="270"/>
      <c r="O887" s="270"/>
    </row>
    <row r="888" spans="1:15" hidden="1">
      <c r="A888" s="269">
        <v>45797</v>
      </c>
      <c r="B888" s="270" t="s">
        <v>2093</v>
      </c>
      <c r="C888" s="270" t="s">
        <v>175</v>
      </c>
      <c r="D888" s="271" t="s">
        <v>117</v>
      </c>
      <c r="E888" s="272">
        <v>29000</v>
      </c>
      <c r="F888" s="272">
        <v>51.698705364585685</v>
      </c>
      <c r="G888" s="282">
        <v>579.64599999999996</v>
      </c>
      <c r="H888" s="274" t="s">
        <v>193</v>
      </c>
      <c r="I888" s="274" t="s">
        <v>2089</v>
      </c>
      <c r="J888" s="274" t="s">
        <v>98</v>
      </c>
      <c r="K888" s="290" t="s">
        <v>205</v>
      </c>
      <c r="L888" s="274" t="s">
        <v>155</v>
      </c>
      <c r="M888" s="270"/>
      <c r="N888" s="270"/>
      <c r="O888" s="270"/>
    </row>
    <row r="889" spans="1:15" hidden="1">
      <c r="A889" s="269">
        <v>45797</v>
      </c>
      <c r="B889" s="270" t="s">
        <v>2094</v>
      </c>
      <c r="C889" s="276" t="s">
        <v>179</v>
      </c>
      <c r="D889" s="271" t="s">
        <v>117</v>
      </c>
      <c r="E889" s="272">
        <v>50000</v>
      </c>
      <c r="F889" s="272">
        <v>89.135698904458081</v>
      </c>
      <c r="G889" s="282">
        <v>579.64599999999996</v>
      </c>
      <c r="H889" s="274" t="s">
        <v>193</v>
      </c>
      <c r="I889" s="274" t="s">
        <v>2090</v>
      </c>
      <c r="J889" s="274" t="s">
        <v>98</v>
      </c>
      <c r="K889" s="290" t="s">
        <v>205</v>
      </c>
      <c r="L889" s="274" t="s">
        <v>155</v>
      </c>
      <c r="M889" s="270"/>
      <c r="N889" s="270"/>
      <c r="O889" s="270"/>
    </row>
    <row r="890" spans="1:15" hidden="1">
      <c r="A890" s="269">
        <v>45797</v>
      </c>
      <c r="B890" s="270" t="s">
        <v>2027</v>
      </c>
      <c r="C890" s="270" t="s">
        <v>175</v>
      </c>
      <c r="D890" s="271" t="s">
        <v>117</v>
      </c>
      <c r="E890" s="272">
        <v>8000</v>
      </c>
      <c r="F890" s="272">
        <v>14.261711824713291</v>
      </c>
      <c r="G890" s="282">
        <v>579.64599999999996</v>
      </c>
      <c r="H890" s="274" t="s">
        <v>196</v>
      </c>
      <c r="I890" s="274" t="s">
        <v>2028</v>
      </c>
      <c r="J890" s="274" t="s">
        <v>98</v>
      </c>
      <c r="K890" s="290" t="s">
        <v>205</v>
      </c>
      <c r="L890" s="274" t="s">
        <v>155</v>
      </c>
      <c r="M890" s="270"/>
      <c r="N890" s="270"/>
      <c r="O890" s="270"/>
    </row>
    <row r="891" spans="1:15" hidden="1">
      <c r="A891" s="269">
        <v>45797</v>
      </c>
      <c r="B891" s="270" t="s">
        <v>1727</v>
      </c>
      <c r="C891" s="270" t="s">
        <v>127</v>
      </c>
      <c r="D891" s="270" t="s">
        <v>120</v>
      </c>
      <c r="E891" s="272">
        <v>30000</v>
      </c>
      <c r="F891" s="272">
        <v>53.481419342674847</v>
      </c>
      <c r="G891" s="273">
        <v>560.94248000000005</v>
      </c>
      <c r="H891" s="274" t="s">
        <v>217</v>
      </c>
      <c r="I891" s="279" t="s">
        <v>2071</v>
      </c>
      <c r="J891" s="274" t="s">
        <v>98</v>
      </c>
      <c r="K891" s="287" t="s">
        <v>2150</v>
      </c>
      <c r="L891" s="292" t="s">
        <v>155</v>
      </c>
      <c r="M891" s="270"/>
      <c r="N891" s="270"/>
      <c r="O891" s="270"/>
    </row>
    <row r="892" spans="1:15" hidden="1">
      <c r="A892" s="269">
        <v>45797</v>
      </c>
      <c r="B892" s="270" t="s">
        <v>1751</v>
      </c>
      <c r="C892" s="270" t="s">
        <v>152</v>
      </c>
      <c r="D892" s="270" t="s">
        <v>120</v>
      </c>
      <c r="E892" s="272">
        <v>10000</v>
      </c>
      <c r="F892" s="272">
        <v>17.827139780891613</v>
      </c>
      <c r="G892" s="282">
        <v>579.64599999999996</v>
      </c>
      <c r="H892" s="274" t="s">
        <v>217</v>
      </c>
      <c r="I892" s="274" t="s">
        <v>2083</v>
      </c>
      <c r="J892" s="274" t="s">
        <v>98</v>
      </c>
      <c r="K892" s="290" t="s">
        <v>205</v>
      </c>
      <c r="L892" s="274" t="s">
        <v>155</v>
      </c>
      <c r="M892" s="270"/>
      <c r="N892" s="270"/>
      <c r="O892" s="270"/>
    </row>
    <row r="893" spans="1:15" hidden="1">
      <c r="A893" s="269">
        <v>45797</v>
      </c>
      <c r="B893" s="270" t="s">
        <v>2107</v>
      </c>
      <c r="C893" s="270" t="s">
        <v>175</v>
      </c>
      <c r="D893" s="271" t="s">
        <v>117</v>
      </c>
      <c r="E893" s="272">
        <v>7000</v>
      </c>
      <c r="F893" s="272">
        <v>12.47899784662413</v>
      </c>
      <c r="G893" s="282">
        <v>579.64599999999996</v>
      </c>
      <c r="H893" s="274" t="s">
        <v>190</v>
      </c>
      <c r="I893" s="274" t="s">
        <v>2108</v>
      </c>
      <c r="J893" s="274" t="s">
        <v>98</v>
      </c>
      <c r="K893" s="290" t="s">
        <v>205</v>
      </c>
      <c r="L893" s="274" t="s">
        <v>155</v>
      </c>
      <c r="M893" s="270"/>
      <c r="N893" s="270"/>
      <c r="O893" s="270"/>
    </row>
    <row r="894" spans="1:15" hidden="1">
      <c r="A894" s="269">
        <v>45798</v>
      </c>
      <c r="B894" s="270" t="s">
        <v>1728</v>
      </c>
      <c r="C894" s="276" t="s">
        <v>1726</v>
      </c>
      <c r="D894" s="270" t="s">
        <v>118</v>
      </c>
      <c r="E894" s="272">
        <v>80000</v>
      </c>
      <c r="F894" s="272">
        <v>142.61711824713291</v>
      </c>
      <c r="G894" s="282">
        <v>579.64599999999996</v>
      </c>
      <c r="H894" s="274" t="s">
        <v>643</v>
      </c>
      <c r="I894" s="274" t="s">
        <v>1976</v>
      </c>
      <c r="J894" s="274" t="s">
        <v>98</v>
      </c>
      <c r="K894" s="290" t="s">
        <v>205</v>
      </c>
      <c r="L894" s="274" t="s">
        <v>155</v>
      </c>
      <c r="M894" s="270"/>
      <c r="N894" s="270"/>
      <c r="O894" s="270"/>
    </row>
    <row r="895" spans="1:15" hidden="1">
      <c r="A895" s="269">
        <v>45798</v>
      </c>
      <c r="B895" s="270" t="s">
        <v>1869</v>
      </c>
      <c r="C895" s="270" t="s">
        <v>406</v>
      </c>
      <c r="D895" s="271" t="s">
        <v>502</v>
      </c>
      <c r="E895" s="272">
        <v>23000</v>
      </c>
      <c r="F895" s="272">
        <v>41.002421496050715</v>
      </c>
      <c r="G895" s="282">
        <v>579.64599999999996</v>
      </c>
      <c r="H895" s="274" t="s">
        <v>176</v>
      </c>
      <c r="I895" s="274" t="s">
        <v>1870</v>
      </c>
      <c r="J895" s="274" t="s">
        <v>98</v>
      </c>
      <c r="K895" s="290" t="s">
        <v>205</v>
      </c>
      <c r="L895" s="274" t="s">
        <v>155</v>
      </c>
      <c r="M895" s="270"/>
      <c r="N895" s="270"/>
      <c r="O895" s="270"/>
    </row>
    <row r="896" spans="1:15" hidden="1">
      <c r="A896" s="269">
        <v>45798</v>
      </c>
      <c r="B896" s="270" t="s">
        <v>1772</v>
      </c>
      <c r="C896" s="276" t="s">
        <v>179</v>
      </c>
      <c r="D896" s="271" t="s">
        <v>502</v>
      </c>
      <c r="E896" s="272">
        <v>80000</v>
      </c>
      <c r="F896" s="272">
        <v>142.61711824713291</v>
      </c>
      <c r="G896" s="282">
        <v>579.64599999999996</v>
      </c>
      <c r="H896" s="274" t="s">
        <v>332</v>
      </c>
      <c r="I896" s="274" t="s">
        <v>1773</v>
      </c>
      <c r="J896" s="274" t="s">
        <v>98</v>
      </c>
      <c r="K896" s="290" t="s">
        <v>205</v>
      </c>
      <c r="L896" s="274" t="s">
        <v>155</v>
      </c>
      <c r="M896" s="270"/>
      <c r="N896" s="270"/>
      <c r="O896" s="270"/>
    </row>
    <row r="897" spans="1:15" hidden="1">
      <c r="A897" s="269">
        <v>45798</v>
      </c>
      <c r="B897" s="270" t="s">
        <v>1914</v>
      </c>
      <c r="C897" s="276" t="s">
        <v>179</v>
      </c>
      <c r="D897" s="271" t="s">
        <v>502</v>
      </c>
      <c r="E897" s="272">
        <v>30000</v>
      </c>
      <c r="F897" s="272">
        <v>53.481419342674847</v>
      </c>
      <c r="G897" s="282">
        <v>579.64599999999996</v>
      </c>
      <c r="H897" s="274" t="s">
        <v>343</v>
      </c>
      <c r="I897" s="274" t="s">
        <v>1915</v>
      </c>
      <c r="J897" s="274" t="s">
        <v>98</v>
      </c>
      <c r="K897" s="290" t="s">
        <v>205</v>
      </c>
      <c r="L897" s="274" t="s">
        <v>155</v>
      </c>
      <c r="M897" s="270"/>
      <c r="N897" s="270"/>
      <c r="O897" s="270"/>
    </row>
    <row r="898" spans="1:15" hidden="1">
      <c r="A898" s="269">
        <v>45798</v>
      </c>
      <c r="B898" s="270" t="s">
        <v>1916</v>
      </c>
      <c r="C898" s="270" t="s">
        <v>175</v>
      </c>
      <c r="D898" s="271" t="s">
        <v>502</v>
      </c>
      <c r="E898" s="272">
        <v>7000</v>
      </c>
      <c r="F898" s="272">
        <v>12.47899784662413</v>
      </c>
      <c r="G898" s="282">
        <v>579.64599999999996</v>
      </c>
      <c r="H898" s="274" t="s">
        <v>343</v>
      </c>
      <c r="I898" s="274" t="s">
        <v>1917</v>
      </c>
      <c r="J898" s="274" t="s">
        <v>98</v>
      </c>
      <c r="K898" s="290" t="s">
        <v>205</v>
      </c>
      <c r="L898" s="274" t="s">
        <v>155</v>
      </c>
      <c r="M898" s="270"/>
      <c r="N898" s="270"/>
      <c r="O898" s="270"/>
    </row>
    <row r="899" spans="1:15" hidden="1">
      <c r="A899" s="269">
        <v>45798</v>
      </c>
      <c r="B899" s="270" t="s">
        <v>2006</v>
      </c>
      <c r="C899" s="276" t="s">
        <v>179</v>
      </c>
      <c r="D899" s="271" t="s">
        <v>117</v>
      </c>
      <c r="E899" s="272">
        <v>20000</v>
      </c>
      <c r="F899" s="272">
        <v>35.654279561783227</v>
      </c>
      <c r="G899" s="282">
        <v>579.64599999999996</v>
      </c>
      <c r="H899" s="274" t="s">
        <v>193</v>
      </c>
      <c r="I899" s="274" t="s">
        <v>2007</v>
      </c>
      <c r="J899" s="274" t="s">
        <v>98</v>
      </c>
      <c r="K899" s="290" t="s">
        <v>205</v>
      </c>
      <c r="L899" s="274" t="s">
        <v>155</v>
      </c>
      <c r="M899" s="270"/>
      <c r="N899" s="270"/>
      <c r="O899" s="270"/>
    </row>
    <row r="900" spans="1:15" hidden="1">
      <c r="A900" s="269">
        <v>45798</v>
      </c>
      <c r="B900" s="270" t="s">
        <v>1527</v>
      </c>
      <c r="C900" s="270" t="s">
        <v>175</v>
      </c>
      <c r="D900" s="271" t="s">
        <v>117</v>
      </c>
      <c r="E900" s="272">
        <v>4000</v>
      </c>
      <c r="F900" s="272">
        <v>7.1308559123566457</v>
      </c>
      <c r="G900" s="282">
        <v>579.64599999999996</v>
      </c>
      <c r="H900" s="274" t="s">
        <v>196</v>
      </c>
      <c r="I900" s="274" t="s">
        <v>2029</v>
      </c>
      <c r="J900" s="274" t="s">
        <v>98</v>
      </c>
      <c r="K900" s="290" t="s">
        <v>205</v>
      </c>
      <c r="L900" s="274" t="s">
        <v>155</v>
      </c>
      <c r="M900" s="270"/>
      <c r="N900" s="270"/>
      <c r="O900" s="270"/>
    </row>
    <row r="901" spans="1:15" hidden="1">
      <c r="A901" s="269">
        <v>45798</v>
      </c>
      <c r="B901" s="270" t="s">
        <v>2030</v>
      </c>
      <c r="C901" s="276" t="s">
        <v>179</v>
      </c>
      <c r="D901" s="271" t="s">
        <v>117</v>
      </c>
      <c r="E901" s="272">
        <v>20000</v>
      </c>
      <c r="F901" s="272">
        <v>35.654279561783227</v>
      </c>
      <c r="G901" s="282">
        <v>579.64599999999996</v>
      </c>
      <c r="H901" s="274" t="s">
        <v>196</v>
      </c>
      <c r="I901" s="274" t="s">
        <v>2031</v>
      </c>
      <c r="J901" s="274" t="s">
        <v>98</v>
      </c>
      <c r="K901" s="290" t="s">
        <v>205</v>
      </c>
      <c r="L901" s="274" t="s">
        <v>155</v>
      </c>
      <c r="M901" s="270"/>
      <c r="N901" s="270"/>
      <c r="O901" s="270"/>
    </row>
    <row r="902" spans="1:15" hidden="1">
      <c r="A902" s="269">
        <v>45798</v>
      </c>
      <c r="B902" s="270" t="s">
        <v>2072</v>
      </c>
      <c r="C902" s="270" t="s">
        <v>175</v>
      </c>
      <c r="D902" s="270" t="s">
        <v>120</v>
      </c>
      <c r="E902" s="272">
        <v>33000</v>
      </c>
      <c r="F902" s="272">
        <v>58.829561276942329</v>
      </c>
      <c r="G902" s="282">
        <v>579.64599999999996</v>
      </c>
      <c r="H902" s="274" t="s">
        <v>217</v>
      </c>
      <c r="I902" s="274" t="s">
        <v>2073</v>
      </c>
      <c r="J902" s="274" t="s">
        <v>98</v>
      </c>
      <c r="K902" s="290" t="s">
        <v>205</v>
      </c>
      <c r="L902" s="274" t="s">
        <v>155</v>
      </c>
      <c r="M902" s="270"/>
      <c r="N902" s="270"/>
      <c r="O902" s="270"/>
    </row>
    <row r="903" spans="1:15" hidden="1">
      <c r="A903" s="269">
        <v>45798</v>
      </c>
      <c r="B903" s="270" t="s">
        <v>2109</v>
      </c>
      <c r="C903" s="276" t="s">
        <v>179</v>
      </c>
      <c r="D903" s="271" t="s">
        <v>117</v>
      </c>
      <c r="E903" s="272">
        <v>20000</v>
      </c>
      <c r="F903" s="272">
        <v>35.654279561783227</v>
      </c>
      <c r="G903" s="282">
        <v>579.64599999999996</v>
      </c>
      <c r="H903" s="274" t="s">
        <v>190</v>
      </c>
      <c r="I903" s="274" t="s">
        <v>2110</v>
      </c>
      <c r="J903" s="274" t="s">
        <v>98</v>
      </c>
      <c r="K903" s="290" t="s">
        <v>205</v>
      </c>
      <c r="L903" s="274" t="s">
        <v>155</v>
      </c>
      <c r="M903" s="270"/>
      <c r="N903" s="270"/>
      <c r="O903" s="270"/>
    </row>
    <row r="904" spans="1:15" hidden="1">
      <c r="A904" s="269">
        <v>45799</v>
      </c>
      <c r="B904" s="270" t="s">
        <v>1871</v>
      </c>
      <c r="C904" s="276" t="s">
        <v>179</v>
      </c>
      <c r="D904" s="271" t="s">
        <v>502</v>
      </c>
      <c r="E904" s="272">
        <v>30000</v>
      </c>
      <c r="F904" s="272">
        <v>53.481419342674847</v>
      </c>
      <c r="G904" s="282">
        <v>579.64599999999996</v>
      </c>
      <c r="H904" s="274" t="s">
        <v>176</v>
      </c>
      <c r="I904" s="274" t="s">
        <v>1872</v>
      </c>
      <c r="J904" s="274" t="s">
        <v>98</v>
      </c>
      <c r="K904" s="290" t="s">
        <v>205</v>
      </c>
      <c r="L904" s="274" t="s">
        <v>155</v>
      </c>
      <c r="M904" s="270"/>
      <c r="N904" s="270"/>
      <c r="O904" s="270"/>
    </row>
    <row r="905" spans="1:15" hidden="1">
      <c r="A905" s="269">
        <v>45799</v>
      </c>
      <c r="B905" s="270" t="s">
        <v>1729</v>
      </c>
      <c r="C905" s="270" t="s">
        <v>317</v>
      </c>
      <c r="D905" s="270" t="s">
        <v>118</v>
      </c>
      <c r="E905" s="272">
        <v>10000</v>
      </c>
      <c r="F905" s="272">
        <v>17.827139780891613</v>
      </c>
      <c r="G905" s="282">
        <v>579.64599999999996</v>
      </c>
      <c r="H905" s="274" t="s">
        <v>643</v>
      </c>
      <c r="I905" s="274" t="s">
        <v>1977</v>
      </c>
      <c r="J905" s="274" t="s">
        <v>98</v>
      </c>
      <c r="K905" s="290" t="s">
        <v>205</v>
      </c>
      <c r="L905" s="274" t="s">
        <v>155</v>
      </c>
      <c r="M905" s="270"/>
      <c r="N905" s="270"/>
      <c r="O905" s="270"/>
    </row>
    <row r="906" spans="1:15" hidden="1">
      <c r="A906" s="269">
        <v>45799</v>
      </c>
      <c r="B906" s="270" t="s">
        <v>1873</v>
      </c>
      <c r="C906" s="270" t="s">
        <v>175</v>
      </c>
      <c r="D906" s="271" t="s">
        <v>502</v>
      </c>
      <c r="E906" s="272">
        <v>10000</v>
      </c>
      <c r="F906" s="272">
        <v>17.827139780891613</v>
      </c>
      <c r="G906" s="282">
        <v>579.64599999999996</v>
      </c>
      <c r="H906" s="274" t="s">
        <v>176</v>
      </c>
      <c r="I906" s="274" t="s">
        <v>1874</v>
      </c>
      <c r="J906" s="274" t="s">
        <v>98</v>
      </c>
      <c r="K906" s="290" t="s">
        <v>205</v>
      </c>
      <c r="L906" s="274" t="s">
        <v>155</v>
      </c>
      <c r="M906" s="270"/>
      <c r="N906" s="270"/>
      <c r="O906" s="270"/>
    </row>
    <row r="907" spans="1:15" hidden="1">
      <c r="A907" s="269">
        <v>45799</v>
      </c>
      <c r="B907" s="270" t="s">
        <v>1774</v>
      </c>
      <c r="C907" s="276" t="s">
        <v>179</v>
      </c>
      <c r="D907" s="271" t="s">
        <v>502</v>
      </c>
      <c r="E907" s="272">
        <v>15000</v>
      </c>
      <c r="F907" s="272">
        <v>26.740709671337424</v>
      </c>
      <c r="G907" s="282">
        <v>579.64599999999996</v>
      </c>
      <c r="H907" s="274" t="s">
        <v>332</v>
      </c>
      <c r="I907" s="274" t="s">
        <v>1775</v>
      </c>
      <c r="J907" s="274" t="s">
        <v>98</v>
      </c>
      <c r="K907" s="290" t="s">
        <v>205</v>
      </c>
      <c r="L907" s="274" t="s">
        <v>155</v>
      </c>
      <c r="M907" s="270"/>
      <c r="N907" s="270"/>
      <c r="O907" s="270"/>
    </row>
    <row r="908" spans="1:15" hidden="1">
      <c r="A908" s="269">
        <v>45799</v>
      </c>
      <c r="B908" s="270" t="s">
        <v>1776</v>
      </c>
      <c r="C908" s="270" t="s">
        <v>175</v>
      </c>
      <c r="D908" s="271" t="s">
        <v>502</v>
      </c>
      <c r="E908" s="272">
        <v>8000</v>
      </c>
      <c r="F908" s="272">
        <v>14.261711824713291</v>
      </c>
      <c r="G908" s="282">
        <v>579.64599999999996</v>
      </c>
      <c r="H908" s="274" t="s">
        <v>332</v>
      </c>
      <c r="I908" s="274" t="s">
        <v>1777</v>
      </c>
      <c r="J908" s="274" t="s">
        <v>98</v>
      </c>
      <c r="K908" s="290" t="s">
        <v>205</v>
      </c>
      <c r="L908" s="274" t="s">
        <v>155</v>
      </c>
      <c r="M908" s="270"/>
      <c r="N908" s="270"/>
      <c r="O908" s="270"/>
    </row>
    <row r="909" spans="1:15" hidden="1">
      <c r="A909" s="269">
        <v>45799</v>
      </c>
      <c r="B909" s="270" t="s">
        <v>1918</v>
      </c>
      <c r="C909" s="270" t="s">
        <v>175</v>
      </c>
      <c r="D909" s="271" t="s">
        <v>502</v>
      </c>
      <c r="E909" s="272">
        <v>3000</v>
      </c>
      <c r="F909" s="272">
        <v>5.3481419342674847</v>
      </c>
      <c r="G909" s="282">
        <v>579.64599999999996</v>
      </c>
      <c r="H909" s="274" t="s">
        <v>343</v>
      </c>
      <c r="I909" s="274" t="s">
        <v>1919</v>
      </c>
      <c r="J909" s="274" t="s">
        <v>98</v>
      </c>
      <c r="K909" s="290" t="s">
        <v>205</v>
      </c>
      <c r="L909" s="274" t="s">
        <v>155</v>
      </c>
      <c r="M909" s="270"/>
      <c r="N909" s="270"/>
      <c r="O909" s="270"/>
    </row>
    <row r="910" spans="1:15" hidden="1">
      <c r="A910" s="269">
        <v>45799</v>
      </c>
      <c r="B910" s="270" t="s">
        <v>1920</v>
      </c>
      <c r="C910" s="270" t="s">
        <v>175</v>
      </c>
      <c r="D910" s="271" t="s">
        <v>502</v>
      </c>
      <c r="E910" s="272">
        <v>3000</v>
      </c>
      <c r="F910" s="272">
        <v>5.3481419342674847</v>
      </c>
      <c r="G910" s="282">
        <v>579.64599999999996</v>
      </c>
      <c r="H910" s="274" t="s">
        <v>343</v>
      </c>
      <c r="I910" s="274" t="s">
        <v>1921</v>
      </c>
      <c r="J910" s="274" t="s">
        <v>98</v>
      </c>
      <c r="K910" s="290" t="s">
        <v>205</v>
      </c>
      <c r="L910" s="274" t="s">
        <v>155</v>
      </c>
      <c r="M910" s="270"/>
      <c r="N910" s="270"/>
      <c r="O910" s="270"/>
    </row>
    <row r="911" spans="1:15" hidden="1">
      <c r="A911" s="269">
        <v>45799</v>
      </c>
      <c r="B911" s="270" t="s">
        <v>1922</v>
      </c>
      <c r="C911" s="270" t="s">
        <v>175</v>
      </c>
      <c r="D911" s="271" t="s">
        <v>502</v>
      </c>
      <c r="E911" s="272">
        <v>10000</v>
      </c>
      <c r="F911" s="272">
        <v>17.827139780891613</v>
      </c>
      <c r="G911" s="282">
        <v>579.64599999999996</v>
      </c>
      <c r="H911" s="274" t="s">
        <v>343</v>
      </c>
      <c r="I911" s="274" t="s">
        <v>1923</v>
      </c>
      <c r="J911" s="274" t="s">
        <v>98</v>
      </c>
      <c r="K911" s="290" t="s">
        <v>205</v>
      </c>
      <c r="L911" s="274" t="s">
        <v>155</v>
      </c>
      <c r="M911" s="270"/>
      <c r="N911" s="270"/>
      <c r="O911" s="270"/>
    </row>
    <row r="912" spans="1:15" hidden="1">
      <c r="A912" s="269">
        <v>45799</v>
      </c>
      <c r="B912" s="270" t="s">
        <v>2010</v>
      </c>
      <c r="C912" s="270" t="s">
        <v>327</v>
      </c>
      <c r="D912" s="271" t="s">
        <v>117</v>
      </c>
      <c r="E912" s="272">
        <v>27000</v>
      </c>
      <c r="F912" s="272">
        <v>48.133277408407359</v>
      </c>
      <c r="G912" s="282">
        <v>579.64599999999996</v>
      </c>
      <c r="H912" s="274" t="s">
        <v>193</v>
      </c>
      <c r="I912" s="274" t="s">
        <v>2011</v>
      </c>
      <c r="J912" s="274" t="s">
        <v>98</v>
      </c>
      <c r="K912" s="290" t="s">
        <v>205</v>
      </c>
      <c r="L912" s="274" t="s">
        <v>155</v>
      </c>
      <c r="M912" s="270"/>
      <c r="N912" s="270"/>
      <c r="O912" s="270"/>
    </row>
    <row r="913" spans="1:15" hidden="1">
      <c r="A913" s="269">
        <v>45799</v>
      </c>
      <c r="B913" s="270" t="s">
        <v>2032</v>
      </c>
      <c r="C913" s="270" t="s">
        <v>327</v>
      </c>
      <c r="D913" s="271" t="s">
        <v>117</v>
      </c>
      <c r="E913" s="272">
        <v>9000</v>
      </c>
      <c r="F913" s="272">
        <v>16.044425802802454</v>
      </c>
      <c r="G913" s="282">
        <v>579.64599999999996</v>
      </c>
      <c r="H913" s="274" t="s">
        <v>196</v>
      </c>
      <c r="I913" s="274" t="s">
        <v>2033</v>
      </c>
      <c r="J913" s="274" t="s">
        <v>98</v>
      </c>
      <c r="K913" s="290" t="s">
        <v>205</v>
      </c>
      <c r="L913" s="274" t="s">
        <v>155</v>
      </c>
      <c r="M913" s="270"/>
      <c r="N913" s="270"/>
      <c r="O913" s="270"/>
    </row>
    <row r="914" spans="1:15" hidden="1">
      <c r="A914" s="269">
        <v>45799</v>
      </c>
      <c r="B914" s="270" t="s">
        <v>2074</v>
      </c>
      <c r="C914" s="276" t="s">
        <v>179</v>
      </c>
      <c r="D914" s="270" t="s">
        <v>120</v>
      </c>
      <c r="E914" s="272">
        <v>130000</v>
      </c>
      <c r="F914" s="272">
        <v>231.75281715159099</v>
      </c>
      <c r="G914" s="282">
        <v>579.64599999999996</v>
      </c>
      <c r="H914" s="274" t="s">
        <v>217</v>
      </c>
      <c r="I914" s="274" t="s">
        <v>2075</v>
      </c>
      <c r="J914" s="274" t="s">
        <v>98</v>
      </c>
      <c r="K914" s="290" t="s">
        <v>205</v>
      </c>
      <c r="L914" s="274" t="s">
        <v>155</v>
      </c>
      <c r="M914" s="270"/>
      <c r="N914" s="270"/>
      <c r="O914" s="270"/>
    </row>
    <row r="915" spans="1:15" hidden="1">
      <c r="A915" s="269">
        <v>45799</v>
      </c>
      <c r="B915" s="270" t="s">
        <v>2111</v>
      </c>
      <c r="C915" s="270" t="s">
        <v>175</v>
      </c>
      <c r="D915" s="271" t="s">
        <v>117</v>
      </c>
      <c r="E915" s="272">
        <v>7000</v>
      </c>
      <c r="F915" s="272">
        <v>12.47899784662413</v>
      </c>
      <c r="G915" s="282">
        <v>579.64599999999996</v>
      </c>
      <c r="H915" s="274" t="s">
        <v>190</v>
      </c>
      <c r="I915" s="274" t="s">
        <v>2112</v>
      </c>
      <c r="J915" s="274" t="s">
        <v>98</v>
      </c>
      <c r="K915" s="290" t="s">
        <v>205</v>
      </c>
      <c r="L915" s="274" t="s">
        <v>155</v>
      </c>
      <c r="M915" s="270"/>
      <c r="N915" s="270"/>
      <c r="O915" s="270"/>
    </row>
    <row r="916" spans="1:15" hidden="1">
      <c r="A916" s="269">
        <v>45799</v>
      </c>
      <c r="B916" s="270" t="s">
        <v>2113</v>
      </c>
      <c r="C916" s="270" t="s">
        <v>327</v>
      </c>
      <c r="D916" s="271" t="s">
        <v>117</v>
      </c>
      <c r="E916" s="272">
        <v>43500</v>
      </c>
      <c r="F916" s="272">
        <v>77.548058046878523</v>
      </c>
      <c r="G916" s="282">
        <v>579.64599999999996</v>
      </c>
      <c r="H916" s="274" t="s">
        <v>190</v>
      </c>
      <c r="I916" s="274" t="s">
        <v>2114</v>
      </c>
      <c r="J916" s="274" t="s">
        <v>98</v>
      </c>
      <c r="K916" s="290" t="s">
        <v>205</v>
      </c>
      <c r="L916" s="274" t="s">
        <v>155</v>
      </c>
      <c r="M916" s="270"/>
      <c r="N916" s="270"/>
      <c r="O916" s="270"/>
    </row>
    <row r="917" spans="1:15" hidden="1">
      <c r="A917" s="269">
        <v>45800</v>
      </c>
      <c r="B917" s="270" t="s">
        <v>2008</v>
      </c>
      <c r="C917" s="270" t="s">
        <v>175</v>
      </c>
      <c r="D917" s="271" t="s">
        <v>117</v>
      </c>
      <c r="E917" s="272">
        <v>10000</v>
      </c>
      <c r="F917" s="272">
        <v>17.827139780891613</v>
      </c>
      <c r="G917" s="282">
        <v>579.64599999999996</v>
      </c>
      <c r="H917" s="274" t="s">
        <v>193</v>
      </c>
      <c r="I917" s="274" t="s">
        <v>2009</v>
      </c>
      <c r="J917" s="274" t="s">
        <v>98</v>
      </c>
      <c r="K917" s="290" t="s">
        <v>205</v>
      </c>
      <c r="L917" s="274" t="s">
        <v>155</v>
      </c>
      <c r="M917" s="270"/>
      <c r="N917" s="270"/>
      <c r="O917" s="270"/>
    </row>
    <row r="918" spans="1:15" hidden="1">
      <c r="A918" s="269">
        <v>45800</v>
      </c>
      <c r="B918" s="270" t="s">
        <v>1724</v>
      </c>
      <c r="C918" s="277" t="s">
        <v>2342</v>
      </c>
      <c r="D918" s="270" t="s">
        <v>118</v>
      </c>
      <c r="E918" s="272">
        <v>42960</v>
      </c>
      <c r="F918" s="272">
        <v>76.585392498710377</v>
      </c>
      <c r="G918" s="282">
        <v>579.64599999999996</v>
      </c>
      <c r="H918" s="274" t="s">
        <v>643</v>
      </c>
      <c r="I918" s="274" t="s">
        <v>1978</v>
      </c>
      <c r="J918" s="274" t="s">
        <v>98</v>
      </c>
      <c r="K918" s="290" t="s">
        <v>205</v>
      </c>
      <c r="L918" s="274" t="s">
        <v>155</v>
      </c>
      <c r="M918" s="270"/>
      <c r="N918" s="270"/>
      <c r="O918" s="270"/>
    </row>
    <row r="919" spans="1:15" hidden="1">
      <c r="A919" s="269">
        <v>45800</v>
      </c>
      <c r="B919" s="270" t="s">
        <v>1730</v>
      </c>
      <c r="C919" s="277" t="s">
        <v>2342</v>
      </c>
      <c r="D919" s="270" t="s">
        <v>118</v>
      </c>
      <c r="E919" s="272">
        <v>4750</v>
      </c>
      <c r="F919" s="272">
        <v>8.4678913959235178</v>
      </c>
      <c r="G919" s="282">
        <v>579.64599999999996</v>
      </c>
      <c r="H919" s="274" t="s">
        <v>643</v>
      </c>
      <c r="I919" s="274" t="s">
        <v>1979</v>
      </c>
      <c r="J919" s="274" t="s">
        <v>98</v>
      </c>
      <c r="K919" s="290" t="s">
        <v>205</v>
      </c>
      <c r="L919" s="274" t="s">
        <v>155</v>
      </c>
      <c r="M919" s="270"/>
      <c r="N919" s="270"/>
      <c r="O919" s="270"/>
    </row>
    <row r="920" spans="1:15" hidden="1">
      <c r="A920" s="269">
        <v>45800</v>
      </c>
      <c r="B920" s="270" t="s">
        <v>1817</v>
      </c>
      <c r="C920" s="270" t="s">
        <v>175</v>
      </c>
      <c r="D920" s="271" t="s">
        <v>502</v>
      </c>
      <c r="E920" s="272">
        <v>10000</v>
      </c>
      <c r="F920" s="272">
        <v>17.827139780891613</v>
      </c>
      <c r="G920" s="282">
        <v>579.64599999999996</v>
      </c>
      <c r="H920" s="274" t="s">
        <v>187</v>
      </c>
      <c r="I920" s="275" t="s">
        <v>1821</v>
      </c>
      <c r="J920" s="274" t="s">
        <v>98</v>
      </c>
      <c r="K920" s="290" t="s">
        <v>205</v>
      </c>
      <c r="L920" s="274" t="s">
        <v>155</v>
      </c>
      <c r="M920" s="270"/>
      <c r="N920" s="270"/>
      <c r="O920" s="270"/>
    </row>
    <row r="921" spans="1:15" hidden="1">
      <c r="A921" s="269">
        <v>45800</v>
      </c>
      <c r="B921" s="270" t="s">
        <v>1819</v>
      </c>
      <c r="C921" s="270" t="s">
        <v>175</v>
      </c>
      <c r="D921" s="271" t="s">
        <v>502</v>
      </c>
      <c r="E921" s="272">
        <v>10000</v>
      </c>
      <c r="F921" s="272">
        <v>17.827139780891613</v>
      </c>
      <c r="G921" s="282">
        <v>579.64599999999996</v>
      </c>
      <c r="H921" s="274" t="s">
        <v>187</v>
      </c>
      <c r="I921" s="275" t="s">
        <v>1822</v>
      </c>
      <c r="J921" s="274" t="s">
        <v>98</v>
      </c>
      <c r="K921" s="290" t="s">
        <v>205</v>
      </c>
      <c r="L921" s="274" t="s">
        <v>155</v>
      </c>
      <c r="M921" s="270"/>
      <c r="N921" s="270"/>
      <c r="O921" s="270"/>
    </row>
    <row r="922" spans="1:15" hidden="1">
      <c r="A922" s="269">
        <v>45800</v>
      </c>
      <c r="B922" s="270" t="s">
        <v>1875</v>
      </c>
      <c r="C922" s="270" t="s">
        <v>175</v>
      </c>
      <c r="D922" s="271" t="s">
        <v>502</v>
      </c>
      <c r="E922" s="272">
        <v>10000</v>
      </c>
      <c r="F922" s="272">
        <v>17.827139780891613</v>
      </c>
      <c r="G922" s="282">
        <v>579.64599999999996</v>
      </c>
      <c r="H922" s="274" t="s">
        <v>176</v>
      </c>
      <c r="I922" s="274" t="s">
        <v>1876</v>
      </c>
      <c r="J922" s="274" t="s">
        <v>98</v>
      </c>
      <c r="K922" s="290" t="s">
        <v>205</v>
      </c>
      <c r="L922" s="274" t="s">
        <v>155</v>
      </c>
      <c r="M922" s="270"/>
      <c r="N922" s="270"/>
      <c r="O922" s="270"/>
    </row>
    <row r="923" spans="1:15" hidden="1">
      <c r="A923" s="269">
        <v>45800</v>
      </c>
      <c r="B923" s="270" t="s">
        <v>1877</v>
      </c>
      <c r="C923" s="270" t="s">
        <v>175</v>
      </c>
      <c r="D923" s="271" t="s">
        <v>502</v>
      </c>
      <c r="E923" s="272">
        <v>10000</v>
      </c>
      <c r="F923" s="272">
        <v>17.827139780891613</v>
      </c>
      <c r="G923" s="282">
        <v>579.64599999999996</v>
      </c>
      <c r="H923" s="274" t="s">
        <v>176</v>
      </c>
      <c r="I923" s="274" t="s">
        <v>1878</v>
      </c>
      <c r="J923" s="274" t="s">
        <v>98</v>
      </c>
      <c r="K923" s="290" t="s">
        <v>205</v>
      </c>
      <c r="L923" s="274" t="s">
        <v>155</v>
      </c>
      <c r="M923" s="270"/>
      <c r="N923" s="270"/>
      <c r="O923" s="270"/>
    </row>
    <row r="924" spans="1:15" hidden="1">
      <c r="A924" s="269">
        <v>45800</v>
      </c>
      <c r="B924" s="270" t="s">
        <v>1924</v>
      </c>
      <c r="C924" s="276" t="s">
        <v>179</v>
      </c>
      <c r="D924" s="271" t="s">
        <v>502</v>
      </c>
      <c r="E924" s="272">
        <v>30000</v>
      </c>
      <c r="F924" s="272">
        <v>53.481419342674847</v>
      </c>
      <c r="G924" s="282">
        <v>579.64599999999996</v>
      </c>
      <c r="H924" s="274" t="s">
        <v>343</v>
      </c>
      <c r="I924" s="274" t="s">
        <v>1925</v>
      </c>
      <c r="J924" s="274" t="s">
        <v>98</v>
      </c>
      <c r="K924" s="290" t="s">
        <v>205</v>
      </c>
      <c r="L924" s="274" t="s">
        <v>155</v>
      </c>
      <c r="M924" s="270"/>
      <c r="N924" s="270"/>
      <c r="O924" s="270"/>
    </row>
    <row r="925" spans="1:15" hidden="1">
      <c r="A925" s="269">
        <v>45800</v>
      </c>
      <c r="B925" s="270" t="s">
        <v>2012</v>
      </c>
      <c r="C925" s="276" t="s">
        <v>179</v>
      </c>
      <c r="D925" s="271" t="s">
        <v>117</v>
      </c>
      <c r="E925" s="272">
        <v>30000</v>
      </c>
      <c r="F925" s="272">
        <v>53.481419342674847</v>
      </c>
      <c r="G925" s="282">
        <v>579.64599999999996</v>
      </c>
      <c r="H925" s="274" t="s">
        <v>193</v>
      </c>
      <c r="I925" s="274" t="s">
        <v>2000</v>
      </c>
      <c r="J925" s="274" t="s">
        <v>98</v>
      </c>
      <c r="K925" s="290" t="s">
        <v>205</v>
      </c>
      <c r="L925" s="274" t="s">
        <v>155</v>
      </c>
      <c r="M925" s="270"/>
      <c r="N925" s="270"/>
      <c r="O925" s="270"/>
    </row>
    <row r="926" spans="1:15" hidden="1">
      <c r="A926" s="269">
        <v>45800</v>
      </c>
      <c r="B926" s="270" t="s">
        <v>2034</v>
      </c>
      <c r="C926" s="276" t="s">
        <v>179</v>
      </c>
      <c r="D926" s="271" t="s">
        <v>117</v>
      </c>
      <c r="E926" s="272">
        <v>30000</v>
      </c>
      <c r="F926" s="272">
        <v>53.481419342674847</v>
      </c>
      <c r="G926" s="282">
        <v>579.64599999999996</v>
      </c>
      <c r="H926" s="274" t="s">
        <v>196</v>
      </c>
      <c r="I926" s="274" t="s">
        <v>2035</v>
      </c>
      <c r="J926" s="274" t="s">
        <v>98</v>
      </c>
      <c r="K926" s="290" t="s">
        <v>205</v>
      </c>
      <c r="L926" s="274" t="s">
        <v>155</v>
      </c>
      <c r="M926" s="270"/>
      <c r="N926" s="270"/>
      <c r="O926" s="270"/>
    </row>
    <row r="927" spans="1:15" hidden="1">
      <c r="A927" s="269">
        <v>45800</v>
      </c>
      <c r="B927" s="270" t="s">
        <v>1533</v>
      </c>
      <c r="C927" s="270" t="s">
        <v>175</v>
      </c>
      <c r="D927" s="271" t="s">
        <v>117</v>
      </c>
      <c r="E927" s="272">
        <v>5000</v>
      </c>
      <c r="F927" s="272">
        <v>8.9135698904458067</v>
      </c>
      <c r="G927" s="282">
        <v>579.64599999999996</v>
      </c>
      <c r="H927" s="274" t="s">
        <v>196</v>
      </c>
      <c r="I927" s="274" t="s">
        <v>2036</v>
      </c>
      <c r="J927" s="274" t="s">
        <v>98</v>
      </c>
      <c r="K927" s="290" t="s">
        <v>205</v>
      </c>
      <c r="L927" s="274" t="s">
        <v>155</v>
      </c>
      <c r="M927" s="270"/>
      <c r="N927" s="270"/>
      <c r="O927" s="270"/>
    </row>
    <row r="928" spans="1:15" hidden="1">
      <c r="A928" s="269">
        <v>45800</v>
      </c>
      <c r="B928" s="270" t="s">
        <v>2037</v>
      </c>
      <c r="C928" s="270" t="s">
        <v>175</v>
      </c>
      <c r="D928" s="271" t="s">
        <v>117</v>
      </c>
      <c r="E928" s="272">
        <v>7000</v>
      </c>
      <c r="F928" s="272">
        <v>12.47899784662413</v>
      </c>
      <c r="G928" s="282">
        <v>579.64599999999996</v>
      </c>
      <c r="H928" s="274" t="s">
        <v>196</v>
      </c>
      <c r="I928" s="274" t="s">
        <v>2038</v>
      </c>
      <c r="J928" s="274" t="s">
        <v>98</v>
      </c>
      <c r="K928" s="290" t="s">
        <v>205</v>
      </c>
      <c r="L928" s="274" t="s">
        <v>155</v>
      </c>
      <c r="M928" s="270"/>
      <c r="N928" s="270"/>
      <c r="O928" s="270"/>
    </row>
    <row r="929" spans="1:15" hidden="1">
      <c r="A929" s="269">
        <v>45800</v>
      </c>
      <c r="B929" s="270" t="s">
        <v>2076</v>
      </c>
      <c r="C929" s="276" t="s">
        <v>179</v>
      </c>
      <c r="D929" s="270" t="s">
        <v>120</v>
      </c>
      <c r="E929" s="272">
        <v>15000</v>
      </c>
      <c r="F929" s="272">
        <v>26.740709671337424</v>
      </c>
      <c r="G929" s="282">
        <v>579.64599999999996</v>
      </c>
      <c r="H929" s="274" t="s">
        <v>217</v>
      </c>
      <c r="I929" s="274" t="s">
        <v>2077</v>
      </c>
      <c r="J929" s="274" t="s">
        <v>98</v>
      </c>
      <c r="K929" s="290" t="s">
        <v>205</v>
      </c>
      <c r="L929" s="274" t="s">
        <v>155</v>
      </c>
      <c r="M929" s="270"/>
      <c r="N929" s="270"/>
      <c r="O929" s="270"/>
    </row>
    <row r="930" spans="1:15" hidden="1">
      <c r="A930" s="269">
        <v>45800</v>
      </c>
      <c r="B930" s="270" t="s">
        <v>2115</v>
      </c>
      <c r="C930" s="276" t="s">
        <v>179</v>
      </c>
      <c r="D930" s="271" t="s">
        <v>117</v>
      </c>
      <c r="E930" s="272">
        <v>30000</v>
      </c>
      <c r="F930" s="272">
        <v>53.481419342674847</v>
      </c>
      <c r="G930" s="282">
        <v>579.64599999999996</v>
      </c>
      <c r="H930" s="274" t="s">
        <v>190</v>
      </c>
      <c r="I930" s="274" t="s">
        <v>2116</v>
      </c>
      <c r="J930" s="274" t="s">
        <v>98</v>
      </c>
      <c r="K930" s="290" t="s">
        <v>205</v>
      </c>
      <c r="L930" s="274" t="s">
        <v>155</v>
      </c>
      <c r="M930" s="270"/>
      <c r="N930" s="270"/>
      <c r="O930" s="270"/>
    </row>
    <row r="931" spans="1:15" hidden="1">
      <c r="A931" s="269">
        <v>45801</v>
      </c>
      <c r="B931" s="270" t="s">
        <v>2078</v>
      </c>
      <c r="C931" s="276" t="s">
        <v>179</v>
      </c>
      <c r="D931" s="270" t="s">
        <v>120</v>
      </c>
      <c r="E931" s="272">
        <v>15000</v>
      </c>
      <c r="F931" s="272">
        <v>26.740709671337424</v>
      </c>
      <c r="G931" s="282">
        <v>579.64599999999996</v>
      </c>
      <c r="H931" s="274" t="s">
        <v>217</v>
      </c>
      <c r="I931" s="274" t="s">
        <v>2079</v>
      </c>
      <c r="J931" s="274" t="s">
        <v>98</v>
      </c>
      <c r="K931" s="290" t="s">
        <v>205</v>
      </c>
      <c r="L931" s="274" t="s">
        <v>155</v>
      </c>
      <c r="M931" s="270"/>
      <c r="N931" s="270"/>
      <c r="O931" s="270"/>
    </row>
    <row r="932" spans="1:15" hidden="1">
      <c r="A932" s="269">
        <v>45802</v>
      </c>
      <c r="B932" s="270" t="s">
        <v>1953</v>
      </c>
      <c r="C932" s="276" t="s">
        <v>179</v>
      </c>
      <c r="D932" s="270" t="s">
        <v>2343</v>
      </c>
      <c r="E932" s="272">
        <v>150000</v>
      </c>
      <c r="F932" s="272">
        <v>267.40709671337424</v>
      </c>
      <c r="G932" s="282">
        <v>579.64599999999996</v>
      </c>
      <c r="H932" s="274" t="s">
        <v>203</v>
      </c>
      <c r="I932" s="275" t="s">
        <v>1954</v>
      </c>
      <c r="J932" s="274" t="s">
        <v>98</v>
      </c>
      <c r="K932" s="290" t="s">
        <v>205</v>
      </c>
      <c r="L932" s="274" t="s">
        <v>155</v>
      </c>
      <c r="M932" s="270"/>
      <c r="N932" s="270"/>
      <c r="O932" s="270"/>
    </row>
    <row r="933" spans="1:15" hidden="1">
      <c r="A933" s="269">
        <v>45803</v>
      </c>
      <c r="B933" s="270" t="s">
        <v>1700</v>
      </c>
      <c r="C933" s="270" t="s">
        <v>127</v>
      </c>
      <c r="D933" s="270" t="s">
        <v>119</v>
      </c>
      <c r="E933" s="272">
        <v>1311000</v>
      </c>
      <c r="F933" s="272">
        <v>2337.1380252748909</v>
      </c>
      <c r="G933" s="273">
        <v>560.94248000000005</v>
      </c>
      <c r="H933" s="274" t="s">
        <v>148</v>
      </c>
      <c r="I933" s="274" t="s">
        <v>2127</v>
      </c>
      <c r="J933" s="274" t="s">
        <v>98</v>
      </c>
      <c r="K933" s="287" t="s">
        <v>2150</v>
      </c>
      <c r="L933" s="292" t="s">
        <v>155</v>
      </c>
      <c r="M933" s="270"/>
      <c r="N933" s="270"/>
      <c r="O933" s="270"/>
    </row>
    <row r="934" spans="1:15" hidden="1">
      <c r="A934" s="269">
        <v>45803</v>
      </c>
      <c r="B934" s="270" t="s">
        <v>1701</v>
      </c>
      <c r="C934" s="270" t="s">
        <v>127</v>
      </c>
      <c r="D934" s="270" t="s">
        <v>118</v>
      </c>
      <c r="E934" s="272">
        <v>230000</v>
      </c>
      <c r="F934" s="272">
        <v>410.02421496050715</v>
      </c>
      <c r="G934" s="273">
        <v>560.94248000000005</v>
      </c>
      <c r="H934" s="274" t="s">
        <v>148</v>
      </c>
      <c r="I934" s="274" t="s">
        <v>2128</v>
      </c>
      <c r="J934" s="274" t="s">
        <v>98</v>
      </c>
      <c r="K934" s="287" t="s">
        <v>2150</v>
      </c>
      <c r="L934" s="292" t="s">
        <v>155</v>
      </c>
      <c r="M934" s="270"/>
      <c r="N934" s="270"/>
      <c r="O934" s="270"/>
    </row>
    <row r="935" spans="1:15" hidden="1">
      <c r="A935" s="269">
        <v>45803</v>
      </c>
      <c r="B935" s="270" t="s">
        <v>1702</v>
      </c>
      <c r="C935" s="270" t="s">
        <v>127</v>
      </c>
      <c r="D935" s="271" t="s">
        <v>117</v>
      </c>
      <c r="E935" s="272">
        <v>200000</v>
      </c>
      <c r="F935" s="272">
        <v>356.54279561783233</v>
      </c>
      <c r="G935" s="273">
        <v>560.94248000000005</v>
      </c>
      <c r="H935" s="274" t="s">
        <v>148</v>
      </c>
      <c r="I935" s="274" t="s">
        <v>2129</v>
      </c>
      <c r="J935" s="274" t="s">
        <v>98</v>
      </c>
      <c r="K935" s="287" t="s">
        <v>2150</v>
      </c>
      <c r="L935" s="292" t="s">
        <v>155</v>
      </c>
      <c r="M935" s="270"/>
      <c r="N935" s="270"/>
      <c r="O935" s="270"/>
    </row>
    <row r="936" spans="1:15" hidden="1">
      <c r="A936" s="269">
        <v>45803</v>
      </c>
      <c r="B936" s="270" t="s">
        <v>1703</v>
      </c>
      <c r="C936" s="270" t="s">
        <v>127</v>
      </c>
      <c r="D936" s="271" t="s">
        <v>117</v>
      </c>
      <c r="E936" s="272">
        <v>200000</v>
      </c>
      <c r="F936" s="272">
        <v>356.54279561783233</v>
      </c>
      <c r="G936" s="273">
        <v>560.94248000000005</v>
      </c>
      <c r="H936" s="274" t="s">
        <v>148</v>
      </c>
      <c r="I936" s="274" t="s">
        <v>2130</v>
      </c>
      <c r="J936" s="274" t="s">
        <v>98</v>
      </c>
      <c r="K936" s="287" t="s">
        <v>2150</v>
      </c>
      <c r="L936" s="292" t="s">
        <v>155</v>
      </c>
      <c r="M936" s="270"/>
      <c r="N936" s="270"/>
      <c r="O936" s="270"/>
    </row>
    <row r="937" spans="1:15" hidden="1">
      <c r="A937" s="269">
        <v>45803</v>
      </c>
      <c r="B937" s="270" t="s">
        <v>1704</v>
      </c>
      <c r="C937" s="270" t="s">
        <v>127</v>
      </c>
      <c r="D937" s="271" t="s">
        <v>117</v>
      </c>
      <c r="E937" s="272">
        <v>200000</v>
      </c>
      <c r="F937" s="272">
        <v>356.54279561783233</v>
      </c>
      <c r="G937" s="273">
        <v>560.94248000000005</v>
      </c>
      <c r="H937" s="274" t="s">
        <v>148</v>
      </c>
      <c r="I937" s="274" t="s">
        <v>2131</v>
      </c>
      <c r="J937" s="274" t="s">
        <v>98</v>
      </c>
      <c r="K937" s="287" t="s">
        <v>2150</v>
      </c>
      <c r="L937" s="292" t="s">
        <v>155</v>
      </c>
      <c r="M937" s="270"/>
      <c r="N937" s="270"/>
      <c r="O937" s="270"/>
    </row>
    <row r="938" spans="1:15" hidden="1">
      <c r="A938" s="269">
        <v>45803</v>
      </c>
      <c r="B938" s="270" t="s">
        <v>1705</v>
      </c>
      <c r="C938" s="270" t="s">
        <v>127</v>
      </c>
      <c r="D938" s="271" t="s">
        <v>117</v>
      </c>
      <c r="E938" s="272">
        <v>551482</v>
      </c>
      <c r="F938" s="272">
        <v>983.13467006456699</v>
      </c>
      <c r="G938" s="273">
        <v>560.94248000000005</v>
      </c>
      <c r="H938" s="274" t="s">
        <v>148</v>
      </c>
      <c r="I938" s="274" t="s">
        <v>2132</v>
      </c>
      <c r="J938" s="274" t="s">
        <v>98</v>
      </c>
      <c r="K938" s="287" t="s">
        <v>2150</v>
      </c>
      <c r="L938" s="292" t="s">
        <v>155</v>
      </c>
      <c r="M938" s="270"/>
      <c r="N938" s="270"/>
      <c r="O938" s="270"/>
    </row>
    <row r="939" spans="1:15" hidden="1">
      <c r="A939" s="269">
        <v>45803</v>
      </c>
      <c r="B939" s="270" t="s">
        <v>1706</v>
      </c>
      <c r="C939" s="270" t="s">
        <v>127</v>
      </c>
      <c r="D939" s="270" t="s">
        <v>120</v>
      </c>
      <c r="E939" s="272">
        <v>89773</v>
      </c>
      <c r="F939" s="272">
        <v>160.03958195499828</v>
      </c>
      <c r="G939" s="273">
        <v>560.94248000000005</v>
      </c>
      <c r="H939" s="274" t="s">
        <v>148</v>
      </c>
      <c r="I939" s="274" t="s">
        <v>2133</v>
      </c>
      <c r="J939" s="274" t="s">
        <v>98</v>
      </c>
      <c r="K939" s="287" t="s">
        <v>2150</v>
      </c>
      <c r="L939" s="292" t="s">
        <v>155</v>
      </c>
      <c r="M939" s="270"/>
      <c r="N939" s="270"/>
      <c r="O939" s="270"/>
    </row>
    <row r="940" spans="1:15" hidden="1">
      <c r="A940" s="269">
        <v>45803</v>
      </c>
      <c r="B940" s="270" t="s">
        <v>1707</v>
      </c>
      <c r="C940" s="270" t="s">
        <v>127</v>
      </c>
      <c r="D940" s="271" t="s">
        <v>117</v>
      </c>
      <c r="E940" s="272">
        <v>300000</v>
      </c>
      <c r="F940" s="272">
        <v>534.81419342674849</v>
      </c>
      <c r="G940" s="273">
        <v>560.94248000000005</v>
      </c>
      <c r="H940" s="274" t="s">
        <v>148</v>
      </c>
      <c r="I940" s="274" t="s">
        <v>2134</v>
      </c>
      <c r="J940" s="274" t="s">
        <v>98</v>
      </c>
      <c r="K940" s="287" t="s">
        <v>2150</v>
      </c>
      <c r="L940" s="292" t="s">
        <v>155</v>
      </c>
      <c r="M940" s="270"/>
      <c r="N940" s="270"/>
      <c r="O940" s="270"/>
    </row>
    <row r="941" spans="1:15" hidden="1">
      <c r="A941" s="269">
        <v>45803</v>
      </c>
      <c r="B941" s="270" t="s">
        <v>1732</v>
      </c>
      <c r="C941" s="276" t="s">
        <v>1321</v>
      </c>
      <c r="D941" s="270" t="s">
        <v>118</v>
      </c>
      <c r="E941" s="272">
        <v>300000</v>
      </c>
      <c r="F941" s="272">
        <v>534.81419342674849</v>
      </c>
      <c r="G941" s="282">
        <v>579.64599999999996</v>
      </c>
      <c r="H941" s="274" t="s">
        <v>643</v>
      </c>
      <c r="I941" s="274" t="s">
        <v>1980</v>
      </c>
      <c r="J941" s="274" t="s">
        <v>98</v>
      </c>
      <c r="K941" s="290" t="s">
        <v>205</v>
      </c>
      <c r="L941" s="274" t="s">
        <v>155</v>
      </c>
      <c r="M941" s="270"/>
      <c r="N941" s="270"/>
      <c r="O941" s="270"/>
    </row>
    <row r="942" spans="1:15" hidden="1">
      <c r="A942" s="269">
        <v>45803</v>
      </c>
      <c r="B942" s="270" t="s">
        <v>1823</v>
      </c>
      <c r="C942" s="276" t="s">
        <v>179</v>
      </c>
      <c r="D942" s="271" t="s">
        <v>502</v>
      </c>
      <c r="E942" s="272">
        <v>150000</v>
      </c>
      <c r="F942" s="272">
        <v>267.40709671337424</v>
      </c>
      <c r="G942" s="282">
        <v>579.64599999999996</v>
      </c>
      <c r="H942" s="274" t="s">
        <v>187</v>
      </c>
      <c r="I942" s="275" t="s">
        <v>1824</v>
      </c>
      <c r="J942" s="274" t="s">
        <v>98</v>
      </c>
      <c r="K942" s="290" t="s">
        <v>205</v>
      </c>
      <c r="L942" s="274" t="s">
        <v>155</v>
      </c>
      <c r="M942" s="270"/>
      <c r="N942" s="270"/>
      <c r="O942" s="270"/>
    </row>
    <row r="943" spans="1:15" hidden="1">
      <c r="A943" s="269">
        <v>45803</v>
      </c>
      <c r="B943" s="270" t="s">
        <v>1825</v>
      </c>
      <c r="C943" s="270" t="s">
        <v>175</v>
      </c>
      <c r="D943" s="271" t="s">
        <v>502</v>
      </c>
      <c r="E943" s="272">
        <v>94900</v>
      </c>
      <c r="F943" s="272">
        <v>169.17955652066144</v>
      </c>
      <c r="G943" s="282">
        <v>579.64599999999996</v>
      </c>
      <c r="H943" s="274" t="s">
        <v>187</v>
      </c>
      <c r="I943" s="275" t="s">
        <v>1826</v>
      </c>
      <c r="J943" s="274" t="s">
        <v>98</v>
      </c>
      <c r="K943" s="290" t="s">
        <v>205</v>
      </c>
      <c r="L943" s="274" t="s">
        <v>155</v>
      </c>
      <c r="M943" s="270"/>
      <c r="N943" s="270"/>
      <c r="O943" s="270"/>
    </row>
    <row r="944" spans="1:15" hidden="1">
      <c r="A944" s="269">
        <v>45803</v>
      </c>
      <c r="B944" s="270" t="s">
        <v>1778</v>
      </c>
      <c r="C944" s="276" t="s">
        <v>179</v>
      </c>
      <c r="D944" s="271" t="s">
        <v>502</v>
      </c>
      <c r="E944" s="272">
        <v>60000</v>
      </c>
      <c r="F944" s="272">
        <v>106.96283868534969</v>
      </c>
      <c r="G944" s="282">
        <v>579.64599999999996</v>
      </c>
      <c r="H944" s="274" t="s">
        <v>332</v>
      </c>
      <c r="I944" s="274" t="s">
        <v>1779</v>
      </c>
      <c r="J944" s="274" t="s">
        <v>98</v>
      </c>
      <c r="K944" s="290" t="s">
        <v>205</v>
      </c>
      <c r="L944" s="274" t="s">
        <v>155</v>
      </c>
      <c r="M944" s="270"/>
      <c r="N944" s="270"/>
      <c r="O944" s="270"/>
    </row>
    <row r="945" spans="1:15" hidden="1">
      <c r="A945" s="269">
        <v>45803</v>
      </c>
      <c r="B945" s="270" t="s">
        <v>1780</v>
      </c>
      <c r="C945" s="270" t="s">
        <v>175</v>
      </c>
      <c r="D945" s="271" t="s">
        <v>502</v>
      </c>
      <c r="E945" s="272">
        <v>5000</v>
      </c>
      <c r="F945" s="272">
        <v>8.9135698904458067</v>
      </c>
      <c r="G945" s="282">
        <v>579.64599999999996</v>
      </c>
      <c r="H945" s="274" t="s">
        <v>332</v>
      </c>
      <c r="I945" s="274" t="s">
        <v>1781</v>
      </c>
      <c r="J945" s="274" t="s">
        <v>98</v>
      </c>
      <c r="K945" s="290" t="s">
        <v>205</v>
      </c>
      <c r="L945" s="274" t="s">
        <v>155</v>
      </c>
      <c r="M945" s="270"/>
      <c r="N945" s="270"/>
      <c r="O945" s="270"/>
    </row>
    <row r="946" spans="1:15" hidden="1">
      <c r="A946" s="269">
        <v>45803</v>
      </c>
      <c r="B946" s="270" t="s">
        <v>1782</v>
      </c>
      <c r="C946" s="270" t="s">
        <v>403</v>
      </c>
      <c r="D946" s="271" t="s">
        <v>502</v>
      </c>
      <c r="E946" s="272">
        <v>12000</v>
      </c>
      <c r="F946" s="272">
        <v>21.392567737069939</v>
      </c>
      <c r="G946" s="282">
        <v>579.64599999999996</v>
      </c>
      <c r="H946" s="274" t="s">
        <v>332</v>
      </c>
      <c r="I946" s="274" t="s">
        <v>1783</v>
      </c>
      <c r="J946" s="274" t="s">
        <v>98</v>
      </c>
      <c r="K946" s="290" t="s">
        <v>205</v>
      </c>
      <c r="L946" s="274" t="s">
        <v>155</v>
      </c>
      <c r="M946" s="270"/>
      <c r="N946" s="270"/>
      <c r="O946" s="270"/>
    </row>
    <row r="947" spans="1:15" hidden="1">
      <c r="A947" s="269">
        <v>45803</v>
      </c>
      <c r="B947" s="270" t="s">
        <v>1731</v>
      </c>
      <c r="C947" s="277" t="s">
        <v>2342</v>
      </c>
      <c r="D947" s="270" t="s">
        <v>118</v>
      </c>
      <c r="E947" s="272">
        <v>3800</v>
      </c>
      <c r="F947" s="272">
        <v>6.7743131167388135</v>
      </c>
      <c r="G947" s="282">
        <v>579.64599999999996</v>
      </c>
      <c r="H947" s="274" t="s">
        <v>193</v>
      </c>
      <c r="I947" s="274" t="s">
        <v>1997</v>
      </c>
      <c r="J947" s="274" t="s">
        <v>98</v>
      </c>
      <c r="K947" s="290" t="s">
        <v>205</v>
      </c>
      <c r="L947" s="274" t="s">
        <v>155</v>
      </c>
      <c r="M947" s="270"/>
      <c r="N947" s="270"/>
      <c r="O947" s="270"/>
    </row>
    <row r="948" spans="1:15" hidden="1">
      <c r="A948" s="269">
        <v>45803</v>
      </c>
      <c r="B948" s="270" t="s">
        <v>2057</v>
      </c>
      <c r="C948" s="270" t="s">
        <v>2058</v>
      </c>
      <c r="D948" s="271" t="s">
        <v>117</v>
      </c>
      <c r="E948" s="272">
        <v>1400</v>
      </c>
      <c r="F948" s="272">
        <v>2.4957995693248263</v>
      </c>
      <c r="G948" s="282">
        <v>579.64599999999996</v>
      </c>
      <c r="H948" s="274" t="s">
        <v>497</v>
      </c>
      <c r="I948" s="274" t="s">
        <v>2059</v>
      </c>
      <c r="J948" s="274" t="s">
        <v>98</v>
      </c>
      <c r="K948" s="290" t="s">
        <v>205</v>
      </c>
      <c r="L948" s="274" t="s">
        <v>155</v>
      </c>
      <c r="M948" s="270"/>
      <c r="N948" s="270"/>
      <c r="O948" s="270"/>
    </row>
    <row r="949" spans="1:15" hidden="1">
      <c r="A949" s="269">
        <v>45803</v>
      </c>
      <c r="B949" s="270" t="s">
        <v>1733</v>
      </c>
      <c r="C949" s="276" t="s">
        <v>1321</v>
      </c>
      <c r="D949" s="270" t="s">
        <v>118</v>
      </c>
      <c r="E949" s="272">
        <v>20000</v>
      </c>
      <c r="F949" s="272">
        <v>35.654279561783227</v>
      </c>
      <c r="G949" s="282">
        <v>579.64599999999996</v>
      </c>
      <c r="H949" s="274" t="s">
        <v>190</v>
      </c>
      <c r="I949" s="274" t="s">
        <v>2019</v>
      </c>
      <c r="J949" s="274" t="s">
        <v>98</v>
      </c>
      <c r="K949" s="290" t="s">
        <v>205</v>
      </c>
      <c r="L949" s="274" t="s">
        <v>155</v>
      </c>
      <c r="M949" s="270"/>
      <c r="N949" s="270"/>
      <c r="O949" s="270"/>
    </row>
    <row r="950" spans="1:15" hidden="1">
      <c r="A950" s="269">
        <v>45804</v>
      </c>
      <c r="B950" s="270" t="s">
        <v>1955</v>
      </c>
      <c r="C950" s="276" t="s">
        <v>179</v>
      </c>
      <c r="D950" s="270" t="s">
        <v>2343</v>
      </c>
      <c r="E950" s="272">
        <v>10000</v>
      </c>
      <c r="F950" s="272">
        <v>17.827139780891613</v>
      </c>
      <c r="G950" s="282">
        <v>579.64599999999996</v>
      </c>
      <c r="H950" s="274" t="s">
        <v>203</v>
      </c>
      <c r="I950" s="275" t="s">
        <v>1956</v>
      </c>
      <c r="J950" s="274" t="s">
        <v>98</v>
      </c>
      <c r="K950" s="290" t="s">
        <v>205</v>
      </c>
      <c r="L950" s="274" t="s">
        <v>155</v>
      </c>
      <c r="M950" s="270"/>
      <c r="N950" s="270"/>
      <c r="O950" s="270"/>
    </row>
    <row r="951" spans="1:15" hidden="1">
      <c r="A951" s="269">
        <v>45804</v>
      </c>
      <c r="B951" s="270" t="s">
        <v>1957</v>
      </c>
      <c r="C951" s="276" t="s">
        <v>179</v>
      </c>
      <c r="D951" s="270" t="s">
        <v>2343</v>
      </c>
      <c r="E951" s="272">
        <v>15000</v>
      </c>
      <c r="F951" s="272">
        <v>26.740709671337424</v>
      </c>
      <c r="G951" s="282">
        <v>579.64599999999996</v>
      </c>
      <c r="H951" s="274" t="s">
        <v>203</v>
      </c>
      <c r="I951" s="275" t="s">
        <v>1958</v>
      </c>
      <c r="J951" s="274" t="s">
        <v>98</v>
      </c>
      <c r="K951" s="290" t="s">
        <v>205</v>
      </c>
      <c r="L951" s="274" t="s">
        <v>155</v>
      </c>
      <c r="M951" s="270"/>
      <c r="N951" s="270"/>
      <c r="O951" s="270"/>
    </row>
    <row r="952" spans="1:15" hidden="1">
      <c r="A952" s="269">
        <v>45804</v>
      </c>
      <c r="B952" s="270" t="s">
        <v>1959</v>
      </c>
      <c r="C952" s="276" t="s">
        <v>179</v>
      </c>
      <c r="D952" s="270" t="s">
        <v>2343</v>
      </c>
      <c r="E952" s="272">
        <v>13000</v>
      </c>
      <c r="F952" s="272">
        <v>23.175281715159098</v>
      </c>
      <c r="G952" s="282">
        <v>579.64599999999996</v>
      </c>
      <c r="H952" s="274" t="s">
        <v>203</v>
      </c>
      <c r="I952" s="275" t="s">
        <v>1960</v>
      </c>
      <c r="J952" s="274" t="s">
        <v>98</v>
      </c>
      <c r="K952" s="290" t="s">
        <v>205</v>
      </c>
      <c r="L952" s="274" t="s">
        <v>155</v>
      </c>
      <c r="M952" s="270"/>
      <c r="N952" s="270"/>
      <c r="O952" s="270"/>
    </row>
    <row r="953" spans="1:15" hidden="1">
      <c r="A953" s="269">
        <v>45804</v>
      </c>
      <c r="B953" s="270" t="s">
        <v>1961</v>
      </c>
      <c r="C953" s="270" t="s">
        <v>175</v>
      </c>
      <c r="D953" s="270" t="s">
        <v>2343</v>
      </c>
      <c r="E953" s="272">
        <v>100000</v>
      </c>
      <c r="F953" s="272">
        <v>178.27139780891616</v>
      </c>
      <c r="G953" s="282">
        <v>579.64599999999996</v>
      </c>
      <c r="H953" s="274" t="s">
        <v>203</v>
      </c>
      <c r="I953" s="275" t="s">
        <v>1956</v>
      </c>
      <c r="J953" s="274" t="s">
        <v>98</v>
      </c>
      <c r="K953" s="290" t="s">
        <v>205</v>
      </c>
      <c r="L953" s="274" t="s">
        <v>155</v>
      </c>
      <c r="M953" s="270"/>
      <c r="N953" s="270"/>
      <c r="O953" s="270"/>
    </row>
    <row r="954" spans="1:15" hidden="1">
      <c r="A954" s="269">
        <v>45804</v>
      </c>
      <c r="B954" s="270" t="s">
        <v>1962</v>
      </c>
      <c r="C954" s="276" t="s">
        <v>179</v>
      </c>
      <c r="D954" s="270" t="s">
        <v>2343</v>
      </c>
      <c r="E954" s="272">
        <v>15000</v>
      </c>
      <c r="F954" s="272">
        <v>26.740709671337424</v>
      </c>
      <c r="G954" s="282">
        <v>579.64599999999996</v>
      </c>
      <c r="H954" s="274" t="s">
        <v>203</v>
      </c>
      <c r="I954" s="275" t="s">
        <v>1958</v>
      </c>
      <c r="J954" s="274" t="s">
        <v>98</v>
      </c>
      <c r="K954" s="290" t="s">
        <v>205</v>
      </c>
      <c r="L954" s="274" t="s">
        <v>155</v>
      </c>
      <c r="M954" s="270"/>
      <c r="N954" s="270"/>
      <c r="O954" s="270"/>
    </row>
    <row r="955" spans="1:15" hidden="1">
      <c r="A955" s="269">
        <v>45804</v>
      </c>
      <c r="B955" s="270" t="s">
        <v>1734</v>
      </c>
      <c r="C955" s="277" t="s">
        <v>2342</v>
      </c>
      <c r="D955" s="270" t="s">
        <v>118</v>
      </c>
      <c r="E955" s="272">
        <v>2625</v>
      </c>
      <c r="F955" s="272">
        <v>4.6796241924840487</v>
      </c>
      <c r="G955" s="282">
        <v>579.64599999999996</v>
      </c>
      <c r="H955" s="274" t="s">
        <v>643</v>
      </c>
      <c r="I955" s="274" t="s">
        <v>1981</v>
      </c>
      <c r="J955" s="274" t="s">
        <v>98</v>
      </c>
      <c r="K955" s="290" t="s">
        <v>205</v>
      </c>
      <c r="L955" s="274" t="s">
        <v>155</v>
      </c>
      <c r="M955" s="270"/>
      <c r="N955" s="270"/>
      <c r="O955" s="270"/>
    </row>
    <row r="956" spans="1:15" hidden="1">
      <c r="A956" s="269">
        <v>45804</v>
      </c>
      <c r="B956" s="270" t="s">
        <v>1735</v>
      </c>
      <c r="C956" s="270" t="s">
        <v>317</v>
      </c>
      <c r="D956" s="270" t="s">
        <v>118</v>
      </c>
      <c r="E956" s="272">
        <v>20000</v>
      </c>
      <c r="F956" s="272">
        <v>35.654279561783227</v>
      </c>
      <c r="G956" s="282">
        <v>579.64599999999996</v>
      </c>
      <c r="H956" s="274" t="s">
        <v>643</v>
      </c>
      <c r="I956" s="274" t="s">
        <v>1982</v>
      </c>
      <c r="J956" s="274" t="s">
        <v>98</v>
      </c>
      <c r="K956" s="290" t="s">
        <v>205</v>
      </c>
      <c r="L956" s="274" t="s">
        <v>155</v>
      </c>
      <c r="M956" s="270"/>
      <c r="N956" s="270"/>
      <c r="O956" s="270"/>
    </row>
    <row r="957" spans="1:15" hidden="1">
      <c r="A957" s="269">
        <v>45804</v>
      </c>
      <c r="B957" s="270" t="s">
        <v>1827</v>
      </c>
      <c r="C957" s="270" t="s">
        <v>175</v>
      </c>
      <c r="D957" s="271" t="s">
        <v>502</v>
      </c>
      <c r="E957" s="272">
        <v>315000</v>
      </c>
      <c r="F957" s="272">
        <v>561.5549030980859</v>
      </c>
      <c r="G957" s="282">
        <v>579.64599999999996</v>
      </c>
      <c r="H957" s="274" t="s">
        <v>187</v>
      </c>
      <c r="I957" s="275" t="s">
        <v>1828</v>
      </c>
      <c r="J957" s="274" t="s">
        <v>98</v>
      </c>
      <c r="K957" s="290" t="s">
        <v>205</v>
      </c>
      <c r="L957" s="274" t="s">
        <v>155</v>
      </c>
      <c r="M957" s="270"/>
      <c r="N957" s="270"/>
      <c r="O957" s="270"/>
    </row>
    <row r="958" spans="1:15" hidden="1">
      <c r="A958" s="269">
        <v>45804</v>
      </c>
      <c r="B958" s="270" t="s">
        <v>1829</v>
      </c>
      <c r="C958" s="270" t="s">
        <v>406</v>
      </c>
      <c r="D958" s="271" t="s">
        <v>502</v>
      </c>
      <c r="E958" s="272">
        <v>64100</v>
      </c>
      <c r="F958" s="272">
        <v>114.27196599551526</v>
      </c>
      <c r="G958" s="282">
        <v>579.64599999999996</v>
      </c>
      <c r="H958" s="274" t="s">
        <v>187</v>
      </c>
      <c r="I958" s="275" t="s">
        <v>1830</v>
      </c>
      <c r="J958" s="274" t="s">
        <v>98</v>
      </c>
      <c r="K958" s="290" t="s">
        <v>205</v>
      </c>
      <c r="L958" s="274" t="s">
        <v>155</v>
      </c>
      <c r="M958" s="270"/>
      <c r="N958" s="270"/>
      <c r="O958" s="270"/>
    </row>
    <row r="959" spans="1:15" hidden="1">
      <c r="A959" s="269">
        <v>45804</v>
      </c>
      <c r="B959" s="270" t="s">
        <v>1879</v>
      </c>
      <c r="C959" s="276" t="s">
        <v>179</v>
      </c>
      <c r="D959" s="271" t="s">
        <v>502</v>
      </c>
      <c r="E959" s="272">
        <v>75000</v>
      </c>
      <c r="F959" s="272">
        <v>133.70354835668712</v>
      </c>
      <c r="G959" s="282">
        <v>579.64599999999996</v>
      </c>
      <c r="H959" s="274" t="s">
        <v>176</v>
      </c>
      <c r="I959" s="274" t="s">
        <v>1880</v>
      </c>
      <c r="J959" s="274" t="s">
        <v>98</v>
      </c>
      <c r="K959" s="290" t="s">
        <v>205</v>
      </c>
      <c r="L959" s="274" t="s">
        <v>155</v>
      </c>
      <c r="M959" s="270"/>
      <c r="N959" s="270"/>
      <c r="O959" s="270"/>
    </row>
    <row r="960" spans="1:15" hidden="1">
      <c r="A960" s="269">
        <v>45804</v>
      </c>
      <c r="B960" s="270" t="s">
        <v>1926</v>
      </c>
      <c r="C960" s="270" t="s">
        <v>406</v>
      </c>
      <c r="D960" s="271" t="s">
        <v>502</v>
      </c>
      <c r="E960" s="272">
        <v>14000</v>
      </c>
      <c r="F960" s="272">
        <v>24.957995693248261</v>
      </c>
      <c r="G960" s="282">
        <v>579.64599999999996</v>
      </c>
      <c r="H960" s="274" t="s">
        <v>343</v>
      </c>
      <c r="I960" s="274" t="s">
        <v>1927</v>
      </c>
      <c r="J960" s="274" t="s">
        <v>98</v>
      </c>
      <c r="K960" s="290" t="s">
        <v>205</v>
      </c>
      <c r="L960" s="274" t="s">
        <v>155</v>
      </c>
      <c r="M960" s="270"/>
      <c r="N960" s="270"/>
      <c r="O960" s="270"/>
    </row>
    <row r="961" spans="1:15" hidden="1">
      <c r="A961" s="269">
        <v>45804</v>
      </c>
      <c r="B961" s="270" t="s">
        <v>1736</v>
      </c>
      <c r="C961" s="276" t="s">
        <v>1737</v>
      </c>
      <c r="D961" s="271" t="s">
        <v>502</v>
      </c>
      <c r="E961" s="272">
        <v>60000</v>
      </c>
      <c r="F961" s="272">
        <v>106.96283868534969</v>
      </c>
      <c r="G961" s="282">
        <v>579.64599999999996</v>
      </c>
      <c r="H961" s="274" t="s">
        <v>196</v>
      </c>
      <c r="I961" s="274" t="s">
        <v>2024</v>
      </c>
      <c r="J961" s="274" t="s">
        <v>98</v>
      </c>
      <c r="K961" s="290" t="s">
        <v>205</v>
      </c>
      <c r="L961" s="274" t="s">
        <v>155</v>
      </c>
      <c r="M961" s="270"/>
      <c r="N961" s="270"/>
      <c r="O961" s="270"/>
    </row>
    <row r="962" spans="1:15" hidden="1">
      <c r="A962" s="269">
        <v>45804</v>
      </c>
      <c r="B962" s="270" t="s">
        <v>1242</v>
      </c>
      <c r="C962" s="270" t="s">
        <v>199</v>
      </c>
      <c r="D962" s="270" t="s">
        <v>2343</v>
      </c>
      <c r="E962" s="272">
        <v>25000</v>
      </c>
      <c r="F962" s="272">
        <v>44.567849452229041</v>
      </c>
      <c r="G962" s="282">
        <v>579.64599999999996</v>
      </c>
      <c r="H962" s="274" t="s">
        <v>497</v>
      </c>
      <c r="I962" s="274" t="s">
        <v>2060</v>
      </c>
      <c r="J962" s="274" t="s">
        <v>98</v>
      </c>
      <c r="K962" s="290" t="s">
        <v>205</v>
      </c>
      <c r="L962" s="274" t="s">
        <v>155</v>
      </c>
      <c r="M962" s="270"/>
      <c r="N962" s="270"/>
      <c r="O962" s="270"/>
    </row>
    <row r="963" spans="1:15" hidden="1">
      <c r="A963" s="269">
        <v>45804</v>
      </c>
      <c r="B963" s="270" t="s">
        <v>2061</v>
      </c>
      <c r="C963" s="276" t="s">
        <v>179</v>
      </c>
      <c r="D963" s="271" t="s">
        <v>117</v>
      </c>
      <c r="E963" s="272">
        <v>25200</v>
      </c>
      <c r="F963" s="272">
        <v>44.924392247846868</v>
      </c>
      <c r="G963" s="282">
        <v>579.64599999999996</v>
      </c>
      <c r="H963" s="274" t="s">
        <v>497</v>
      </c>
      <c r="I963" s="274" t="s">
        <v>2062</v>
      </c>
      <c r="J963" s="274" t="s">
        <v>98</v>
      </c>
      <c r="K963" s="290" t="s">
        <v>205</v>
      </c>
      <c r="L963" s="274" t="s">
        <v>155</v>
      </c>
      <c r="M963" s="270"/>
      <c r="N963" s="270"/>
      <c r="O963" s="270"/>
    </row>
    <row r="964" spans="1:15" hidden="1">
      <c r="A964" s="269">
        <v>45804</v>
      </c>
      <c r="B964" s="270" t="s">
        <v>269</v>
      </c>
      <c r="C964" s="276" t="s">
        <v>179</v>
      </c>
      <c r="D964" s="270" t="s">
        <v>120</v>
      </c>
      <c r="E964" s="272">
        <v>10000</v>
      </c>
      <c r="F964" s="272">
        <v>17.827139780891613</v>
      </c>
      <c r="G964" s="282">
        <v>579.64599999999996</v>
      </c>
      <c r="H964" s="274" t="s">
        <v>217</v>
      </c>
      <c r="I964" s="274" t="s">
        <v>2080</v>
      </c>
      <c r="J964" s="274" t="s">
        <v>98</v>
      </c>
      <c r="K964" s="290" t="s">
        <v>205</v>
      </c>
      <c r="L964" s="274" t="s">
        <v>155</v>
      </c>
      <c r="M964" s="270"/>
      <c r="N964" s="270"/>
      <c r="O964" s="270"/>
    </row>
    <row r="965" spans="1:15" hidden="1">
      <c r="A965" s="269">
        <v>45805</v>
      </c>
      <c r="B965" s="270" t="s">
        <v>1713</v>
      </c>
      <c r="C965" s="270" t="s">
        <v>128</v>
      </c>
      <c r="D965" s="270" t="s">
        <v>118</v>
      </c>
      <c r="E965" s="272">
        <v>15166</v>
      </c>
      <c r="F965" s="272">
        <v>27.036640191700222</v>
      </c>
      <c r="G965" s="282">
        <v>579.64599999999996</v>
      </c>
      <c r="H965" s="274" t="s">
        <v>148</v>
      </c>
      <c r="I965" s="274" t="s">
        <v>2135</v>
      </c>
      <c r="J965" s="274" t="s">
        <v>98</v>
      </c>
      <c r="K965" s="290" t="s">
        <v>205</v>
      </c>
      <c r="L965" s="274" t="s">
        <v>155</v>
      </c>
      <c r="M965" s="270"/>
      <c r="N965" s="270"/>
      <c r="O965" s="270"/>
    </row>
    <row r="966" spans="1:15" hidden="1">
      <c r="A966" s="269">
        <v>45805</v>
      </c>
      <c r="B966" s="270" t="s">
        <v>1714</v>
      </c>
      <c r="C966" s="270" t="s">
        <v>128</v>
      </c>
      <c r="D966" s="270" t="s">
        <v>118</v>
      </c>
      <c r="E966" s="272">
        <v>19783</v>
      </c>
      <c r="F966" s="272">
        <v>35.26743062853788</v>
      </c>
      <c r="G966" s="282">
        <v>579.64599999999996</v>
      </c>
      <c r="H966" s="274" t="s">
        <v>148</v>
      </c>
      <c r="I966" s="274" t="s">
        <v>2136</v>
      </c>
      <c r="J966" s="274" t="s">
        <v>98</v>
      </c>
      <c r="K966" s="290" t="s">
        <v>205</v>
      </c>
      <c r="L966" s="274" t="s">
        <v>155</v>
      </c>
      <c r="M966" s="270"/>
      <c r="N966" s="270"/>
      <c r="O966" s="270"/>
    </row>
    <row r="967" spans="1:15" hidden="1">
      <c r="A967" s="269">
        <v>45805</v>
      </c>
      <c r="B967" s="270" t="s">
        <v>1715</v>
      </c>
      <c r="C967" s="270" t="s">
        <v>128</v>
      </c>
      <c r="D967" s="270" t="s">
        <v>118</v>
      </c>
      <c r="E967" s="272">
        <v>17268</v>
      </c>
      <c r="F967" s="272">
        <v>30.78390497364364</v>
      </c>
      <c r="G967" s="282">
        <v>579.64599999999996</v>
      </c>
      <c r="H967" s="274" t="s">
        <v>148</v>
      </c>
      <c r="I967" s="274" t="s">
        <v>2137</v>
      </c>
      <c r="J967" s="274" t="s">
        <v>98</v>
      </c>
      <c r="K967" s="290" t="s">
        <v>205</v>
      </c>
      <c r="L967" s="274" t="s">
        <v>155</v>
      </c>
      <c r="M967" s="270"/>
      <c r="N967" s="270"/>
      <c r="O967" s="270"/>
    </row>
    <row r="968" spans="1:15" hidden="1">
      <c r="A968" s="269">
        <v>45805</v>
      </c>
      <c r="B968" s="270" t="s">
        <v>1963</v>
      </c>
      <c r="C968" s="276" t="s">
        <v>179</v>
      </c>
      <c r="D968" s="271" t="s">
        <v>117</v>
      </c>
      <c r="E968" s="272">
        <v>160000</v>
      </c>
      <c r="F968" s="272">
        <v>285.23423649426582</v>
      </c>
      <c r="G968" s="282">
        <v>579.64599999999996</v>
      </c>
      <c r="H968" s="274" t="s">
        <v>203</v>
      </c>
      <c r="I968" s="275" t="s">
        <v>1964</v>
      </c>
      <c r="J968" s="274" t="s">
        <v>98</v>
      </c>
      <c r="K968" s="290" t="s">
        <v>205</v>
      </c>
      <c r="L968" s="274" t="s">
        <v>155</v>
      </c>
      <c r="M968" s="270"/>
      <c r="N968" s="270"/>
      <c r="O968" s="270"/>
    </row>
    <row r="969" spans="1:15" hidden="1">
      <c r="A969" s="269">
        <v>45805</v>
      </c>
      <c r="B969" s="270" t="s">
        <v>1965</v>
      </c>
      <c r="C969" s="276" t="s">
        <v>179</v>
      </c>
      <c r="D969" s="271" t="s">
        <v>117</v>
      </c>
      <c r="E969" s="272">
        <v>100000</v>
      </c>
      <c r="F969" s="272">
        <v>178.27139780891616</v>
      </c>
      <c r="G969" s="282">
        <v>579.64599999999996</v>
      </c>
      <c r="H969" s="274" t="s">
        <v>203</v>
      </c>
      <c r="I969" s="275" t="s">
        <v>1966</v>
      </c>
      <c r="J969" s="274" t="s">
        <v>98</v>
      </c>
      <c r="K969" s="290" t="s">
        <v>205</v>
      </c>
      <c r="L969" s="274" t="s">
        <v>155</v>
      </c>
      <c r="M969" s="270"/>
      <c r="N969" s="270"/>
      <c r="O969" s="270"/>
    </row>
    <row r="970" spans="1:15" hidden="1">
      <c r="A970" s="269">
        <v>45805</v>
      </c>
      <c r="B970" s="270" t="s">
        <v>1967</v>
      </c>
      <c r="C970" s="276" t="s">
        <v>179</v>
      </c>
      <c r="D970" s="271" t="s">
        <v>117</v>
      </c>
      <c r="E970" s="272">
        <v>20000</v>
      </c>
      <c r="F970" s="272">
        <v>35.654279561783227</v>
      </c>
      <c r="G970" s="282">
        <v>579.64599999999996</v>
      </c>
      <c r="H970" s="274" t="s">
        <v>203</v>
      </c>
      <c r="I970" s="275" t="s">
        <v>1968</v>
      </c>
      <c r="J970" s="274" t="s">
        <v>98</v>
      </c>
      <c r="K970" s="290" t="s">
        <v>205</v>
      </c>
      <c r="L970" s="274" t="s">
        <v>155</v>
      </c>
      <c r="M970" s="270"/>
      <c r="N970" s="270"/>
      <c r="O970" s="270"/>
    </row>
    <row r="971" spans="1:15" hidden="1">
      <c r="A971" s="269">
        <v>45805</v>
      </c>
      <c r="B971" s="270" t="s">
        <v>1738</v>
      </c>
      <c r="C971" s="270" t="s">
        <v>317</v>
      </c>
      <c r="D971" s="270" t="s">
        <v>118</v>
      </c>
      <c r="E971" s="272">
        <v>75625</v>
      </c>
      <c r="F971" s="272">
        <v>134.81774459299285</v>
      </c>
      <c r="G971" s="282">
        <v>579.64599999999996</v>
      </c>
      <c r="H971" s="274" t="s">
        <v>643</v>
      </c>
      <c r="I971" s="274" t="s">
        <v>1983</v>
      </c>
      <c r="J971" s="274" t="s">
        <v>98</v>
      </c>
      <c r="K971" s="290" t="s">
        <v>205</v>
      </c>
      <c r="L971" s="274" t="s">
        <v>155</v>
      </c>
      <c r="M971" s="270"/>
      <c r="N971" s="270"/>
      <c r="O971" s="270"/>
    </row>
    <row r="972" spans="1:15" hidden="1">
      <c r="A972" s="269">
        <v>45805</v>
      </c>
      <c r="B972" s="270" t="s">
        <v>1831</v>
      </c>
      <c r="C972" s="276" t="s">
        <v>179</v>
      </c>
      <c r="D972" s="271" t="s">
        <v>502</v>
      </c>
      <c r="E972" s="272">
        <v>135000</v>
      </c>
      <c r="F972" s="272">
        <v>240.6663870420368</v>
      </c>
      <c r="G972" s="282">
        <v>579.64599999999996</v>
      </c>
      <c r="H972" s="274" t="s">
        <v>187</v>
      </c>
      <c r="I972" s="275" t="s">
        <v>1832</v>
      </c>
      <c r="J972" s="274" t="s">
        <v>98</v>
      </c>
      <c r="K972" s="290" t="s">
        <v>205</v>
      </c>
      <c r="L972" s="274" t="s">
        <v>155</v>
      </c>
      <c r="M972" s="270"/>
      <c r="N972" s="270"/>
      <c r="O972" s="270"/>
    </row>
    <row r="973" spans="1:15" hidden="1">
      <c r="A973" s="269">
        <v>45805</v>
      </c>
      <c r="B973" s="270" t="s">
        <v>1833</v>
      </c>
      <c r="C973" s="276" t="s">
        <v>179</v>
      </c>
      <c r="D973" s="271" t="s">
        <v>502</v>
      </c>
      <c r="E973" s="272">
        <v>135000</v>
      </c>
      <c r="F973" s="272">
        <v>240.6663870420368</v>
      </c>
      <c r="G973" s="282">
        <v>579.64599999999996</v>
      </c>
      <c r="H973" s="274" t="s">
        <v>187</v>
      </c>
      <c r="I973" s="275" t="s">
        <v>1834</v>
      </c>
      <c r="J973" s="274" t="s">
        <v>98</v>
      </c>
      <c r="K973" s="290" t="s">
        <v>205</v>
      </c>
      <c r="L973" s="274" t="s">
        <v>155</v>
      </c>
      <c r="M973" s="270"/>
      <c r="N973" s="270"/>
      <c r="O973" s="270"/>
    </row>
    <row r="974" spans="1:15" hidden="1">
      <c r="A974" s="269">
        <v>45805</v>
      </c>
      <c r="B974" s="270" t="s">
        <v>1784</v>
      </c>
      <c r="C974" s="276" t="s">
        <v>179</v>
      </c>
      <c r="D974" s="271" t="s">
        <v>502</v>
      </c>
      <c r="E974" s="272">
        <v>30000</v>
      </c>
      <c r="F974" s="272">
        <v>53.481419342674847</v>
      </c>
      <c r="G974" s="282">
        <v>579.64599999999996</v>
      </c>
      <c r="H974" s="274" t="s">
        <v>332</v>
      </c>
      <c r="I974" s="274" t="s">
        <v>1785</v>
      </c>
      <c r="J974" s="274" t="s">
        <v>98</v>
      </c>
      <c r="K974" s="290" t="s">
        <v>205</v>
      </c>
      <c r="L974" s="274" t="s">
        <v>155</v>
      </c>
      <c r="M974" s="270"/>
      <c r="N974" s="270"/>
      <c r="O974" s="270"/>
    </row>
    <row r="975" spans="1:15" hidden="1">
      <c r="A975" s="269">
        <v>45805</v>
      </c>
      <c r="B975" s="270" t="s">
        <v>836</v>
      </c>
      <c r="C975" s="270" t="s">
        <v>175</v>
      </c>
      <c r="D975" s="271" t="s">
        <v>502</v>
      </c>
      <c r="E975" s="272">
        <v>5000</v>
      </c>
      <c r="F975" s="272">
        <v>8.9135698904458067</v>
      </c>
      <c r="G975" s="282">
        <v>579.64599999999996</v>
      </c>
      <c r="H975" s="274" t="s">
        <v>332</v>
      </c>
      <c r="I975" s="274" t="s">
        <v>1786</v>
      </c>
      <c r="J975" s="274" t="s">
        <v>98</v>
      </c>
      <c r="K975" s="290" t="s">
        <v>205</v>
      </c>
      <c r="L975" s="274" t="s">
        <v>155</v>
      </c>
      <c r="M975" s="270"/>
      <c r="N975" s="270"/>
      <c r="O975" s="270"/>
    </row>
    <row r="976" spans="1:15" hidden="1">
      <c r="A976" s="269">
        <v>45805</v>
      </c>
      <c r="B976" s="270" t="s">
        <v>1928</v>
      </c>
      <c r="C976" s="270" t="s">
        <v>175</v>
      </c>
      <c r="D976" s="271" t="s">
        <v>502</v>
      </c>
      <c r="E976" s="272">
        <v>48500</v>
      </c>
      <c r="F976" s="272">
        <v>86.461627937324337</v>
      </c>
      <c r="G976" s="282">
        <v>579.64599999999996</v>
      </c>
      <c r="H976" s="274" t="s">
        <v>343</v>
      </c>
      <c r="I976" s="274" t="s">
        <v>1929</v>
      </c>
      <c r="J976" s="274" t="s">
        <v>98</v>
      </c>
      <c r="K976" s="290" t="s">
        <v>205</v>
      </c>
      <c r="L976" s="274" t="s">
        <v>155</v>
      </c>
      <c r="M976" s="270"/>
      <c r="N976" s="270"/>
      <c r="O976" s="270"/>
    </row>
    <row r="977" spans="1:15" hidden="1">
      <c r="A977" s="269">
        <v>45805</v>
      </c>
      <c r="B977" s="270" t="s">
        <v>1734</v>
      </c>
      <c r="C977" s="277" t="s">
        <v>2342</v>
      </c>
      <c r="D977" s="270" t="s">
        <v>118</v>
      </c>
      <c r="E977" s="272">
        <v>3750</v>
      </c>
      <c r="F977" s="272">
        <v>6.6851774178343559</v>
      </c>
      <c r="G977" s="282">
        <v>579.64599999999996</v>
      </c>
      <c r="H977" s="274" t="s">
        <v>193</v>
      </c>
      <c r="I977" s="274" t="s">
        <v>1998</v>
      </c>
      <c r="J977" s="274" t="s">
        <v>98</v>
      </c>
      <c r="K977" s="290" t="s">
        <v>205</v>
      </c>
      <c r="L977" s="274" t="s">
        <v>155</v>
      </c>
      <c r="M977" s="270"/>
      <c r="N977" s="270"/>
      <c r="O977" s="270"/>
    </row>
    <row r="978" spans="1:15" hidden="1">
      <c r="A978" s="269">
        <v>45806</v>
      </c>
      <c r="B978" s="270" t="s">
        <v>1787</v>
      </c>
      <c r="C978" s="270" t="s">
        <v>175</v>
      </c>
      <c r="D978" s="271" t="s">
        <v>502</v>
      </c>
      <c r="E978" s="272">
        <v>8000</v>
      </c>
      <c r="F978" s="272">
        <v>14.261711824713291</v>
      </c>
      <c r="G978" s="282">
        <v>579.64599999999996</v>
      </c>
      <c r="H978" s="274" t="s">
        <v>332</v>
      </c>
      <c r="I978" s="274" t="s">
        <v>1788</v>
      </c>
      <c r="J978" s="274" t="s">
        <v>98</v>
      </c>
      <c r="K978" s="290" t="s">
        <v>205</v>
      </c>
      <c r="L978" s="274" t="s">
        <v>155</v>
      </c>
      <c r="M978" s="270"/>
      <c r="N978" s="270"/>
      <c r="O978" s="270"/>
    </row>
    <row r="979" spans="1:15" hidden="1">
      <c r="A979" s="269">
        <v>45806</v>
      </c>
      <c r="B979" s="270" t="s">
        <v>1789</v>
      </c>
      <c r="C979" s="276" t="s">
        <v>179</v>
      </c>
      <c r="D979" s="271" t="s">
        <v>502</v>
      </c>
      <c r="E979" s="272">
        <v>15000</v>
      </c>
      <c r="F979" s="272">
        <v>26.740709671337424</v>
      </c>
      <c r="G979" s="282">
        <v>579.64599999999996</v>
      </c>
      <c r="H979" s="274" t="s">
        <v>332</v>
      </c>
      <c r="I979" s="274" t="s">
        <v>1790</v>
      </c>
      <c r="J979" s="274" t="s">
        <v>98</v>
      </c>
      <c r="K979" s="290" t="s">
        <v>205</v>
      </c>
      <c r="L979" s="274" t="s">
        <v>155</v>
      </c>
      <c r="M979" s="270"/>
      <c r="N979" s="270"/>
      <c r="O979" s="270"/>
    </row>
    <row r="980" spans="1:15" hidden="1">
      <c r="A980" s="269">
        <v>45806</v>
      </c>
      <c r="B980" s="270" t="s">
        <v>1791</v>
      </c>
      <c r="C980" s="270" t="s">
        <v>175</v>
      </c>
      <c r="D980" s="271" t="s">
        <v>502</v>
      </c>
      <c r="E980" s="272">
        <v>28700</v>
      </c>
      <c r="F980" s="272">
        <v>51.163891171158937</v>
      </c>
      <c r="G980" s="282">
        <v>579.64599999999996</v>
      </c>
      <c r="H980" s="274" t="s">
        <v>332</v>
      </c>
      <c r="I980" s="274" t="s">
        <v>1792</v>
      </c>
      <c r="J980" s="274" t="s">
        <v>98</v>
      </c>
      <c r="K980" s="290" t="s">
        <v>205</v>
      </c>
      <c r="L980" s="274" t="s">
        <v>155</v>
      </c>
      <c r="M980" s="270"/>
      <c r="N980" s="270"/>
      <c r="O980" s="270"/>
    </row>
    <row r="981" spans="1:15" hidden="1">
      <c r="A981" s="269">
        <v>45807</v>
      </c>
      <c r="B981" s="270" t="s">
        <v>1709</v>
      </c>
      <c r="C981" s="270" t="s">
        <v>127</v>
      </c>
      <c r="D981" s="271" t="s">
        <v>502</v>
      </c>
      <c r="E981" s="272">
        <v>245000</v>
      </c>
      <c r="F981" s="272">
        <v>436.76492463184456</v>
      </c>
      <c r="G981" s="273">
        <v>560.94248000000005</v>
      </c>
      <c r="H981" s="274" t="s">
        <v>148</v>
      </c>
      <c r="I981" s="274" t="s">
        <v>2138</v>
      </c>
      <c r="J981" s="274" t="s">
        <v>98</v>
      </c>
      <c r="K981" s="287" t="s">
        <v>2150</v>
      </c>
      <c r="L981" s="292" t="s">
        <v>155</v>
      </c>
      <c r="M981" s="270"/>
      <c r="N981" s="270"/>
      <c r="O981" s="270"/>
    </row>
    <row r="982" spans="1:15" hidden="1">
      <c r="A982" s="269">
        <v>45807</v>
      </c>
      <c r="B982" s="270" t="s">
        <v>1938</v>
      </c>
      <c r="C982" s="270" t="s">
        <v>175</v>
      </c>
      <c r="D982" s="270" t="s">
        <v>119</v>
      </c>
      <c r="E982" s="272">
        <v>57000</v>
      </c>
      <c r="F982" s="272">
        <v>101.61469675108221</v>
      </c>
      <c r="G982" s="282">
        <v>579.64599999999996</v>
      </c>
      <c r="H982" s="274" t="s">
        <v>153</v>
      </c>
      <c r="I982" s="293" t="s">
        <v>1939</v>
      </c>
      <c r="J982" s="274" t="s">
        <v>98</v>
      </c>
      <c r="K982" s="290" t="s">
        <v>205</v>
      </c>
      <c r="L982" s="274" t="s">
        <v>155</v>
      </c>
      <c r="M982" s="270"/>
      <c r="N982" s="270"/>
      <c r="O982" s="270"/>
    </row>
    <row r="983" spans="1:15" hidden="1">
      <c r="A983" s="269">
        <v>45807</v>
      </c>
      <c r="B983" s="270" t="s">
        <v>1761</v>
      </c>
      <c r="C983" s="270" t="s">
        <v>152</v>
      </c>
      <c r="D983" s="270" t="s">
        <v>119</v>
      </c>
      <c r="E983" s="272">
        <v>21000</v>
      </c>
      <c r="F983" s="272">
        <v>37.43699353987239</v>
      </c>
      <c r="G983" s="282">
        <v>579.64599999999996</v>
      </c>
      <c r="H983" s="274" t="s">
        <v>153</v>
      </c>
      <c r="I983" s="293" t="s">
        <v>1940</v>
      </c>
      <c r="J983" s="274" t="s">
        <v>98</v>
      </c>
      <c r="K983" s="290" t="s">
        <v>205</v>
      </c>
      <c r="L983" s="274" t="s">
        <v>155</v>
      </c>
      <c r="M983" s="270"/>
      <c r="N983" s="270"/>
      <c r="O983" s="270"/>
    </row>
    <row r="984" spans="1:15" hidden="1">
      <c r="A984" s="269">
        <v>45807</v>
      </c>
      <c r="B984" s="270" t="s">
        <v>1969</v>
      </c>
      <c r="C984" s="270" t="s">
        <v>175</v>
      </c>
      <c r="D984" s="271" t="s">
        <v>117</v>
      </c>
      <c r="E984" s="272">
        <v>21500</v>
      </c>
      <c r="F984" s="272">
        <v>38.328350528916971</v>
      </c>
      <c r="G984" s="282">
        <v>579.64599999999996</v>
      </c>
      <c r="H984" s="274" t="s">
        <v>203</v>
      </c>
      <c r="I984" s="275" t="s">
        <v>1970</v>
      </c>
      <c r="J984" s="274" t="s">
        <v>98</v>
      </c>
      <c r="K984" s="290" t="s">
        <v>205</v>
      </c>
      <c r="L984" s="274" t="s">
        <v>155</v>
      </c>
      <c r="M984" s="270"/>
      <c r="N984" s="270"/>
      <c r="O984" s="270"/>
    </row>
    <row r="985" spans="1:15" hidden="1">
      <c r="A985" s="269">
        <v>45807</v>
      </c>
      <c r="B985" s="270" t="s">
        <v>1760</v>
      </c>
      <c r="C985" s="270" t="s">
        <v>152</v>
      </c>
      <c r="D985" s="271" t="s">
        <v>117</v>
      </c>
      <c r="E985" s="272">
        <v>16000</v>
      </c>
      <c r="F985" s="272">
        <v>28.523423649426583</v>
      </c>
      <c r="G985" s="282">
        <v>579.64599999999996</v>
      </c>
      <c r="H985" s="274" t="s">
        <v>203</v>
      </c>
      <c r="I985" s="275" t="s">
        <v>1971</v>
      </c>
      <c r="J985" s="274" t="s">
        <v>98</v>
      </c>
      <c r="K985" s="290" t="s">
        <v>205</v>
      </c>
      <c r="L985" s="274" t="s">
        <v>155</v>
      </c>
      <c r="M985" s="270"/>
      <c r="N985" s="270"/>
      <c r="O985" s="270"/>
    </row>
    <row r="986" spans="1:15" hidden="1">
      <c r="A986" s="269">
        <v>45807</v>
      </c>
      <c r="B986" s="270" t="s">
        <v>1767</v>
      </c>
      <c r="C986" s="270" t="s">
        <v>152</v>
      </c>
      <c r="D986" s="271" t="s">
        <v>117</v>
      </c>
      <c r="E986" s="272">
        <v>5000</v>
      </c>
      <c r="F986" s="272">
        <v>8.9135698904458067</v>
      </c>
      <c r="G986" s="282">
        <v>579.64599999999996</v>
      </c>
      <c r="H986" s="274" t="s">
        <v>203</v>
      </c>
      <c r="I986" s="275" t="s">
        <v>1972</v>
      </c>
      <c r="J986" s="274" t="s">
        <v>98</v>
      </c>
      <c r="K986" s="290" t="s">
        <v>205</v>
      </c>
      <c r="L986" s="274" t="s">
        <v>155</v>
      </c>
      <c r="M986" s="270"/>
      <c r="N986" s="270"/>
      <c r="O986" s="270"/>
    </row>
    <row r="987" spans="1:15" hidden="1">
      <c r="A987" s="269">
        <v>45807</v>
      </c>
      <c r="B987" s="270" t="s">
        <v>1990</v>
      </c>
      <c r="C987" s="270" t="s">
        <v>175</v>
      </c>
      <c r="D987" s="270" t="s">
        <v>118</v>
      </c>
      <c r="E987" s="272">
        <v>38500</v>
      </c>
      <c r="F987" s="272">
        <v>68.634488156432724</v>
      </c>
      <c r="G987" s="282">
        <v>579.64599999999996</v>
      </c>
      <c r="H987" s="274" t="s">
        <v>643</v>
      </c>
      <c r="I987" s="274" t="s">
        <v>1991</v>
      </c>
      <c r="J987" s="274" t="s">
        <v>98</v>
      </c>
      <c r="K987" s="290" t="s">
        <v>205</v>
      </c>
      <c r="L987" s="274" t="s">
        <v>155</v>
      </c>
      <c r="M987" s="270"/>
      <c r="N987" s="270"/>
      <c r="O987" s="270"/>
    </row>
    <row r="988" spans="1:15" hidden="1">
      <c r="A988" s="269">
        <v>45807</v>
      </c>
      <c r="B988" s="270" t="s">
        <v>1739</v>
      </c>
      <c r="C988" s="276" t="s">
        <v>126</v>
      </c>
      <c r="D988" s="270" t="s">
        <v>118</v>
      </c>
      <c r="E988" s="272">
        <v>10000</v>
      </c>
      <c r="F988" s="272">
        <v>17.827139780891613</v>
      </c>
      <c r="G988" s="282">
        <v>579.64599999999996</v>
      </c>
      <c r="H988" s="274" t="s">
        <v>643</v>
      </c>
      <c r="I988" s="274" t="s">
        <v>1984</v>
      </c>
      <c r="J988" s="274" t="s">
        <v>98</v>
      </c>
      <c r="K988" s="290" t="s">
        <v>205</v>
      </c>
      <c r="L988" s="274" t="s">
        <v>155</v>
      </c>
      <c r="M988" s="270"/>
      <c r="N988" s="270"/>
      <c r="O988" s="270"/>
    </row>
    <row r="989" spans="1:15" hidden="1">
      <c r="A989" s="269">
        <v>45807</v>
      </c>
      <c r="B989" s="270" t="s">
        <v>1740</v>
      </c>
      <c r="C989" s="270" t="s">
        <v>686</v>
      </c>
      <c r="D989" s="270" t="s">
        <v>118</v>
      </c>
      <c r="E989" s="272">
        <v>45050</v>
      </c>
      <c r="F989" s="272">
        <v>80.311264712916724</v>
      </c>
      <c r="G989" s="282">
        <v>579.64599999999996</v>
      </c>
      <c r="H989" s="274" t="s">
        <v>643</v>
      </c>
      <c r="I989" s="274" t="s">
        <v>1985</v>
      </c>
      <c r="J989" s="274" t="s">
        <v>98</v>
      </c>
      <c r="K989" s="290" t="s">
        <v>205</v>
      </c>
      <c r="L989" s="274" t="s">
        <v>155</v>
      </c>
      <c r="M989" s="270"/>
      <c r="N989" s="270"/>
      <c r="O989" s="270"/>
    </row>
    <row r="990" spans="1:15" hidden="1">
      <c r="A990" s="269">
        <v>45807</v>
      </c>
      <c r="B990" s="270" t="s">
        <v>1742</v>
      </c>
      <c r="C990" s="277" t="s">
        <v>2342</v>
      </c>
      <c r="D990" s="270" t="s">
        <v>118</v>
      </c>
      <c r="E990" s="272">
        <v>11200</v>
      </c>
      <c r="F990" s="272">
        <v>19.96639655459861</v>
      </c>
      <c r="G990" s="282">
        <v>579.64599999999996</v>
      </c>
      <c r="H990" s="274" t="s">
        <v>643</v>
      </c>
      <c r="I990" s="274" t="s">
        <v>1986</v>
      </c>
      <c r="J990" s="274" t="s">
        <v>98</v>
      </c>
      <c r="K990" s="290" t="s">
        <v>205</v>
      </c>
      <c r="L990" s="274" t="s">
        <v>155</v>
      </c>
      <c r="M990" s="270"/>
      <c r="N990" s="270"/>
      <c r="O990" s="270"/>
    </row>
    <row r="991" spans="1:15" hidden="1">
      <c r="A991" s="269">
        <v>45807</v>
      </c>
      <c r="B991" s="270" t="s">
        <v>1762</v>
      </c>
      <c r="C991" s="270" t="s">
        <v>152</v>
      </c>
      <c r="D991" s="270" t="s">
        <v>1750</v>
      </c>
      <c r="E991" s="272">
        <v>21000</v>
      </c>
      <c r="F991" s="272">
        <v>37.43699353987239</v>
      </c>
      <c r="G991" s="282">
        <v>579.64599999999996</v>
      </c>
      <c r="H991" s="274" t="s">
        <v>643</v>
      </c>
      <c r="I991" s="274" t="s">
        <v>1992</v>
      </c>
      <c r="J991" s="274" t="s">
        <v>98</v>
      </c>
      <c r="K991" s="290" t="s">
        <v>205</v>
      </c>
      <c r="L991" s="274" t="s">
        <v>155</v>
      </c>
      <c r="M991" s="270"/>
      <c r="N991" s="270"/>
      <c r="O991" s="270"/>
    </row>
    <row r="992" spans="1:15" hidden="1">
      <c r="A992" s="269">
        <v>45807</v>
      </c>
      <c r="B992" s="270" t="s">
        <v>1759</v>
      </c>
      <c r="C992" s="270" t="s">
        <v>152</v>
      </c>
      <c r="D992" s="271" t="s">
        <v>502</v>
      </c>
      <c r="E992" s="272">
        <v>10000</v>
      </c>
      <c r="F992" s="272">
        <v>17.827139780891613</v>
      </c>
      <c r="G992" s="282">
        <v>579.64599999999996</v>
      </c>
      <c r="H992" s="274" t="s">
        <v>187</v>
      </c>
      <c r="I992" s="275" t="s">
        <v>1841</v>
      </c>
      <c r="J992" s="274" t="s">
        <v>98</v>
      </c>
      <c r="K992" s="290" t="s">
        <v>205</v>
      </c>
      <c r="L992" s="274" t="s">
        <v>155</v>
      </c>
      <c r="M992" s="270"/>
      <c r="N992" s="270"/>
      <c r="O992" s="270"/>
    </row>
    <row r="993" spans="1:15" hidden="1">
      <c r="A993" s="269">
        <v>45807</v>
      </c>
      <c r="B993" s="270" t="s">
        <v>1768</v>
      </c>
      <c r="C993" s="270" t="s">
        <v>152</v>
      </c>
      <c r="D993" s="271" t="s">
        <v>502</v>
      </c>
      <c r="E993" s="272">
        <v>16000</v>
      </c>
      <c r="F993" s="272">
        <v>28.523423649426583</v>
      </c>
      <c r="G993" s="282">
        <v>579.64599999999996</v>
      </c>
      <c r="H993" s="274" t="s">
        <v>187</v>
      </c>
      <c r="I993" s="275" t="s">
        <v>1842</v>
      </c>
      <c r="J993" s="274" t="s">
        <v>98</v>
      </c>
      <c r="K993" s="290" t="s">
        <v>205</v>
      </c>
      <c r="L993" s="274" t="s">
        <v>155</v>
      </c>
      <c r="M993" s="270"/>
      <c r="N993" s="270"/>
      <c r="O993" s="270"/>
    </row>
    <row r="994" spans="1:15" hidden="1">
      <c r="A994" s="269">
        <v>45807</v>
      </c>
      <c r="B994" s="270" t="s">
        <v>1759</v>
      </c>
      <c r="C994" s="270" t="s">
        <v>152</v>
      </c>
      <c r="D994" s="271" t="s">
        <v>502</v>
      </c>
      <c r="E994" s="272">
        <v>26000</v>
      </c>
      <c r="F994" s="272">
        <v>46.350563430318196</v>
      </c>
      <c r="G994" s="282">
        <v>579.64599999999996</v>
      </c>
      <c r="H994" s="274" t="s">
        <v>176</v>
      </c>
      <c r="I994" s="274" t="s">
        <v>1885</v>
      </c>
      <c r="J994" s="274" t="s">
        <v>98</v>
      </c>
      <c r="K994" s="290" t="s">
        <v>205</v>
      </c>
      <c r="L994" s="274" t="s">
        <v>155</v>
      </c>
      <c r="M994" s="270"/>
      <c r="N994" s="270"/>
      <c r="O994" s="270"/>
    </row>
    <row r="995" spans="1:15" hidden="1">
      <c r="A995" s="269">
        <v>45807</v>
      </c>
      <c r="B995" s="270" t="s">
        <v>1759</v>
      </c>
      <c r="C995" s="270" t="s">
        <v>152</v>
      </c>
      <c r="D995" s="271" t="s">
        <v>502</v>
      </c>
      <c r="E995" s="272">
        <v>26000</v>
      </c>
      <c r="F995" s="272">
        <v>46.350563430318196</v>
      </c>
      <c r="G995" s="282">
        <v>579.64599999999996</v>
      </c>
      <c r="H995" s="274" t="s">
        <v>332</v>
      </c>
      <c r="I995" s="274" t="s">
        <v>1794</v>
      </c>
      <c r="J995" s="274" t="s">
        <v>98</v>
      </c>
      <c r="K995" s="290" t="s">
        <v>205</v>
      </c>
      <c r="L995" s="274" t="s">
        <v>155</v>
      </c>
      <c r="M995" s="270"/>
      <c r="N995" s="270"/>
      <c r="O995" s="270"/>
    </row>
    <row r="996" spans="1:15" hidden="1">
      <c r="A996" s="269">
        <v>45807</v>
      </c>
      <c r="B996" s="270" t="s">
        <v>1759</v>
      </c>
      <c r="C996" s="270" t="s">
        <v>152</v>
      </c>
      <c r="D996" s="271" t="s">
        <v>502</v>
      </c>
      <c r="E996" s="272">
        <v>10000</v>
      </c>
      <c r="F996" s="272">
        <v>17.827139780891613</v>
      </c>
      <c r="G996" s="282">
        <v>579.64599999999996</v>
      </c>
      <c r="H996" s="274" t="s">
        <v>343</v>
      </c>
      <c r="I996" s="274" t="s">
        <v>1933</v>
      </c>
      <c r="J996" s="274" t="s">
        <v>98</v>
      </c>
      <c r="K996" s="290" t="s">
        <v>205</v>
      </c>
      <c r="L996" s="274" t="s">
        <v>155</v>
      </c>
      <c r="M996" s="270"/>
      <c r="N996" s="270"/>
      <c r="O996" s="270"/>
    </row>
    <row r="997" spans="1:15" hidden="1">
      <c r="A997" s="269">
        <v>45807</v>
      </c>
      <c r="B997" s="270" t="s">
        <v>1768</v>
      </c>
      <c r="C997" s="270" t="s">
        <v>152</v>
      </c>
      <c r="D997" s="271" t="s">
        <v>502</v>
      </c>
      <c r="E997" s="272">
        <v>16000</v>
      </c>
      <c r="F997" s="272">
        <v>28.523423649426583</v>
      </c>
      <c r="G997" s="282">
        <v>579.64599999999996</v>
      </c>
      <c r="H997" s="274" t="s">
        <v>343</v>
      </c>
      <c r="I997" s="274" t="s">
        <v>2145</v>
      </c>
      <c r="J997" s="274" t="s">
        <v>98</v>
      </c>
      <c r="K997" s="290" t="s">
        <v>205</v>
      </c>
      <c r="L997" s="274" t="s">
        <v>155</v>
      </c>
      <c r="M997" s="270"/>
      <c r="N997" s="270"/>
      <c r="O997" s="270"/>
    </row>
    <row r="998" spans="1:15" hidden="1">
      <c r="A998" s="269">
        <v>45807</v>
      </c>
      <c r="B998" s="270" t="s">
        <v>1760</v>
      </c>
      <c r="C998" s="270" t="s">
        <v>152</v>
      </c>
      <c r="D998" s="271" t="s">
        <v>117</v>
      </c>
      <c r="E998" s="272">
        <v>16000</v>
      </c>
      <c r="F998" s="272">
        <v>28.523423649426583</v>
      </c>
      <c r="G998" s="282">
        <v>579.64599999999996</v>
      </c>
      <c r="H998" s="274" t="s">
        <v>193</v>
      </c>
      <c r="I998" s="274" t="s">
        <v>2013</v>
      </c>
      <c r="J998" s="274" t="s">
        <v>98</v>
      </c>
      <c r="K998" s="290" t="s">
        <v>205</v>
      </c>
      <c r="L998" s="274" t="s">
        <v>155</v>
      </c>
      <c r="M998" s="270"/>
      <c r="N998" s="270"/>
      <c r="O998" s="270"/>
    </row>
    <row r="999" spans="1:15" hidden="1">
      <c r="A999" s="269">
        <v>45807</v>
      </c>
      <c r="B999" s="270" t="s">
        <v>1767</v>
      </c>
      <c r="C999" s="270" t="s">
        <v>152</v>
      </c>
      <c r="D999" s="271" t="s">
        <v>117</v>
      </c>
      <c r="E999" s="272">
        <v>5000</v>
      </c>
      <c r="F999" s="272">
        <v>8.9135698904458067</v>
      </c>
      <c r="G999" s="282">
        <v>579.64599999999996</v>
      </c>
      <c r="H999" s="274" t="s">
        <v>193</v>
      </c>
      <c r="I999" s="274" t="s">
        <v>2014</v>
      </c>
      <c r="J999" s="274" t="s">
        <v>98</v>
      </c>
      <c r="K999" s="290" t="s">
        <v>205</v>
      </c>
      <c r="L999" s="274" t="s">
        <v>155</v>
      </c>
      <c r="M999" s="270"/>
      <c r="N999" s="270"/>
      <c r="O999" s="270"/>
    </row>
    <row r="1000" spans="1:15" hidden="1">
      <c r="A1000" s="269">
        <v>45807</v>
      </c>
      <c r="B1000" s="270" t="s">
        <v>1741</v>
      </c>
      <c r="C1000" s="277" t="s">
        <v>2342</v>
      </c>
      <c r="D1000" s="270" t="s">
        <v>118</v>
      </c>
      <c r="E1000" s="272">
        <v>14100</v>
      </c>
      <c r="F1000" s="272">
        <v>25.136267091057178</v>
      </c>
      <c r="G1000" s="282">
        <v>579.64599999999996</v>
      </c>
      <c r="H1000" s="274" t="s">
        <v>193</v>
      </c>
      <c r="I1000" s="274" t="s">
        <v>1999</v>
      </c>
      <c r="J1000" s="274" t="s">
        <v>98</v>
      </c>
      <c r="K1000" s="290" t="s">
        <v>205</v>
      </c>
      <c r="L1000" s="274" t="s">
        <v>155</v>
      </c>
      <c r="M1000" s="270"/>
      <c r="N1000" s="270"/>
      <c r="O1000" s="270"/>
    </row>
    <row r="1001" spans="1:15" hidden="1">
      <c r="A1001" s="269">
        <v>45807</v>
      </c>
      <c r="B1001" s="270" t="s">
        <v>1743</v>
      </c>
      <c r="C1001" s="270" t="s">
        <v>175</v>
      </c>
      <c r="D1001" s="271" t="s">
        <v>117</v>
      </c>
      <c r="E1001" s="272">
        <v>74000</v>
      </c>
      <c r="F1001" s="272">
        <v>131.92083437859796</v>
      </c>
      <c r="G1001" s="282">
        <v>579.64599999999996</v>
      </c>
      <c r="H1001" s="274" t="s">
        <v>193</v>
      </c>
      <c r="I1001" s="274" t="s">
        <v>2086</v>
      </c>
      <c r="J1001" s="274" t="s">
        <v>98</v>
      </c>
      <c r="K1001" s="290" t="s">
        <v>205</v>
      </c>
      <c r="L1001" s="274" t="s">
        <v>155</v>
      </c>
      <c r="M1001" s="270"/>
      <c r="N1001" s="270"/>
      <c r="O1001" s="270"/>
    </row>
    <row r="1002" spans="1:15" hidden="1">
      <c r="A1002" s="269">
        <v>45807</v>
      </c>
      <c r="B1002" s="270" t="s">
        <v>1744</v>
      </c>
      <c r="C1002" s="276" t="s">
        <v>179</v>
      </c>
      <c r="D1002" s="271" t="s">
        <v>117</v>
      </c>
      <c r="E1002" s="272">
        <v>125000</v>
      </c>
      <c r="F1002" s="272">
        <v>222.83924726114518</v>
      </c>
      <c r="G1002" s="282">
        <v>579.64599999999996</v>
      </c>
      <c r="H1002" s="274" t="s">
        <v>193</v>
      </c>
      <c r="I1002" s="274" t="s">
        <v>2087</v>
      </c>
      <c r="J1002" s="274" t="s">
        <v>98</v>
      </c>
      <c r="K1002" s="290" t="s">
        <v>205</v>
      </c>
      <c r="L1002" s="274" t="s">
        <v>155</v>
      </c>
      <c r="M1002" s="270"/>
      <c r="N1002" s="270"/>
      <c r="O1002" s="270"/>
    </row>
    <row r="1003" spans="1:15" hidden="1">
      <c r="A1003" s="269">
        <v>45807</v>
      </c>
      <c r="B1003" s="270" t="s">
        <v>2039</v>
      </c>
      <c r="C1003" s="270" t="s">
        <v>175</v>
      </c>
      <c r="D1003" s="271" t="s">
        <v>117</v>
      </c>
      <c r="E1003" s="272">
        <v>26400</v>
      </c>
      <c r="F1003" s="272">
        <v>47.063649021553864</v>
      </c>
      <c r="G1003" s="282">
        <v>579.64599999999996</v>
      </c>
      <c r="H1003" s="274" t="s">
        <v>196</v>
      </c>
      <c r="I1003" s="274" t="s">
        <v>2040</v>
      </c>
      <c r="J1003" s="274" t="s">
        <v>98</v>
      </c>
      <c r="K1003" s="290" t="s">
        <v>205</v>
      </c>
      <c r="L1003" s="274" t="s">
        <v>155</v>
      </c>
      <c r="M1003" s="270"/>
      <c r="N1003" s="270"/>
      <c r="O1003" s="270"/>
    </row>
    <row r="1004" spans="1:15" hidden="1">
      <c r="A1004" s="269">
        <v>45807</v>
      </c>
      <c r="B1004" s="270" t="s">
        <v>1760</v>
      </c>
      <c r="C1004" s="270" t="s">
        <v>152</v>
      </c>
      <c r="D1004" s="271" t="s">
        <v>117</v>
      </c>
      <c r="E1004" s="272">
        <v>21000</v>
      </c>
      <c r="F1004" s="272">
        <v>37.43699353987239</v>
      </c>
      <c r="G1004" s="282">
        <v>579.64599999999996</v>
      </c>
      <c r="H1004" s="274" t="s">
        <v>196</v>
      </c>
      <c r="I1004" s="274" t="s">
        <v>2041</v>
      </c>
      <c r="J1004" s="274" t="s">
        <v>98</v>
      </c>
      <c r="K1004" s="290" t="s">
        <v>205</v>
      </c>
      <c r="L1004" s="274" t="s">
        <v>155</v>
      </c>
      <c r="M1004" s="270"/>
      <c r="N1004" s="270"/>
      <c r="O1004" s="270"/>
    </row>
    <row r="1005" spans="1:15" hidden="1">
      <c r="A1005" s="269">
        <v>45807</v>
      </c>
      <c r="B1005" s="270" t="s">
        <v>1760</v>
      </c>
      <c r="C1005" s="270" t="s">
        <v>152</v>
      </c>
      <c r="D1005" s="271" t="s">
        <v>117</v>
      </c>
      <c r="E1005" s="272">
        <v>21000</v>
      </c>
      <c r="F1005" s="272">
        <v>37.43699353987239</v>
      </c>
      <c r="G1005" s="282">
        <v>579.64599999999996</v>
      </c>
      <c r="H1005" s="274" t="s">
        <v>497</v>
      </c>
      <c r="I1005" s="274" t="s">
        <v>2063</v>
      </c>
      <c r="J1005" s="274" t="s">
        <v>98</v>
      </c>
      <c r="K1005" s="290" t="s">
        <v>205</v>
      </c>
      <c r="L1005" s="274" t="s">
        <v>155</v>
      </c>
      <c r="M1005" s="270"/>
      <c r="N1005" s="270"/>
      <c r="O1005" s="270"/>
    </row>
    <row r="1006" spans="1:15" hidden="1">
      <c r="A1006" s="269">
        <v>45807</v>
      </c>
      <c r="B1006" s="270" t="s">
        <v>2081</v>
      </c>
      <c r="C1006" s="270" t="s">
        <v>175</v>
      </c>
      <c r="D1006" s="270" t="s">
        <v>120</v>
      </c>
      <c r="E1006" s="272">
        <v>18000</v>
      </c>
      <c r="F1006" s="272">
        <v>32.088851605604908</v>
      </c>
      <c r="G1006" s="282">
        <v>579.64599999999996</v>
      </c>
      <c r="H1006" s="274" t="s">
        <v>217</v>
      </c>
      <c r="I1006" s="274" t="s">
        <v>2082</v>
      </c>
      <c r="J1006" s="274" t="s">
        <v>98</v>
      </c>
      <c r="K1006" s="290" t="s">
        <v>205</v>
      </c>
      <c r="L1006" s="274" t="s">
        <v>155</v>
      </c>
      <c r="M1006" s="270"/>
      <c r="N1006" s="270"/>
      <c r="O1006" s="270"/>
    </row>
    <row r="1007" spans="1:15" hidden="1">
      <c r="A1007" s="269">
        <v>45807</v>
      </c>
      <c r="B1007" s="270" t="s">
        <v>2117</v>
      </c>
      <c r="C1007" s="270" t="s">
        <v>175</v>
      </c>
      <c r="D1007" s="271" t="s">
        <v>117</v>
      </c>
      <c r="E1007" s="272">
        <v>58400</v>
      </c>
      <c r="F1007" s="272">
        <v>104.11049632040704</v>
      </c>
      <c r="G1007" s="282">
        <v>579.64599999999996</v>
      </c>
      <c r="H1007" s="274" t="s">
        <v>190</v>
      </c>
      <c r="I1007" s="274" t="s">
        <v>2118</v>
      </c>
      <c r="J1007" s="274" t="s">
        <v>98</v>
      </c>
      <c r="K1007" s="290" t="s">
        <v>205</v>
      </c>
      <c r="L1007" s="274" t="s">
        <v>155</v>
      </c>
      <c r="M1007" s="270"/>
      <c r="N1007" s="270"/>
      <c r="O1007" s="270"/>
    </row>
    <row r="1008" spans="1:15" hidden="1">
      <c r="A1008" s="269">
        <v>45807</v>
      </c>
      <c r="B1008" s="270" t="s">
        <v>1760</v>
      </c>
      <c r="C1008" s="270" t="s">
        <v>152</v>
      </c>
      <c r="D1008" s="271" t="s">
        <v>117</v>
      </c>
      <c r="E1008" s="272">
        <v>21000</v>
      </c>
      <c r="F1008" s="272">
        <v>37.43699353987239</v>
      </c>
      <c r="G1008" s="282">
        <v>579.64599999999996</v>
      </c>
      <c r="H1008" s="274" t="s">
        <v>190</v>
      </c>
      <c r="I1008" s="274" t="s">
        <v>2119</v>
      </c>
      <c r="J1008" s="274" t="s">
        <v>98</v>
      </c>
      <c r="K1008" s="290" t="s">
        <v>205</v>
      </c>
      <c r="L1008" s="274" t="s">
        <v>155</v>
      </c>
      <c r="M1008" s="270"/>
      <c r="N1008" s="270"/>
      <c r="O1008" s="270"/>
    </row>
    <row r="1009" spans="1:15" hidden="1">
      <c r="A1009" s="269">
        <v>45807</v>
      </c>
      <c r="B1009" s="270" t="s">
        <v>1770</v>
      </c>
      <c r="C1009" s="270" t="s">
        <v>152</v>
      </c>
      <c r="D1009" s="270" t="s">
        <v>120</v>
      </c>
      <c r="E1009" s="272">
        <v>10000</v>
      </c>
      <c r="F1009" s="272">
        <v>17.827139780891613</v>
      </c>
      <c r="G1009" s="282">
        <v>579.64599999999996</v>
      </c>
      <c r="H1009" s="274" t="s">
        <v>217</v>
      </c>
      <c r="I1009" s="274" t="s">
        <v>2084</v>
      </c>
      <c r="J1009" s="274" t="s">
        <v>98</v>
      </c>
      <c r="K1009" s="290" t="s">
        <v>205</v>
      </c>
      <c r="L1009" s="274" t="s">
        <v>155</v>
      </c>
      <c r="M1009" s="270"/>
      <c r="N1009" s="270"/>
      <c r="O1009" s="270"/>
    </row>
    <row r="1010" spans="1:15" hidden="1">
      <c r="A1010" s="269">
        <v>45807</v>
      </c>
      <c r="B1010" s="270" t="s">
        <v>1769</v>
      </c>
      <c r="C1010" s="270" t="s">
        <v>152</v>
      </c>
      <c r="D1010" s="270" t="s">
        <v>120</v>
      </c>
      <c r="E1010" s="272">
        <v>11000</v>
      </c>
      <c r="F1010" s="272">
        <v>19.609853758980776</v>
      </c>
      <c r="G1010" s="282">
        <v>579.64599999999996</v>
      </c>
      <c r="H1010" s="274" t="s">
        <v>217</v>
      </c>
      <c r="I1010" s="274" t="s">
        <v>2085</v>
      </c>
      <c r="J1010" s="274" t="s">
        <v>98</v>
      </c>
      <c r="K1010" s="290" t="s">
        <v>205</v>
      </c>
      <c r="L1010" s="274" t="s">
        <v>155</v>
      </c>
      <c r="M1010" s="270"/>
      <c r="N1010" s="270"/>
      <c r="O1010" s="270"/>
    </row>
    <row r="1011" spans="1:15" hidden="1">
      <c r="A1011" s="269">
        <v>45808</v>
      </c>
      <c r="B1011" s="270" t="s">
        <v>1835</v>
      </c>
      <c r="C1011" s="276" t="s">
        <v>179</v>
      </c>
      <c r="D1011" s="271" t="s">
        <v>502</v>
      </c>
      <c r="E1011" s="272">
        <v>60000</v>
      </c>
      <c r="F1011" s="272">
        <v>106.96283868534969</v>
      </c>
      <c r="G1011" s="282">
        <v>579.64599999999996</v>
      </c>
      <c r="H1011" s="274" t="s">
        <v>187</v>
      </c>
      <c r="I1011" s="275" t="s">
        <v>1836</v>
      </c>
      <c r="J1011" s="274" t="s">
        <v>98</v>
      </c>
      <c r="K1011" s="290" t="s">
        <v>205</v>
      </c>
      <c r="L1011" s="274" t="s">
        <v>155</v>
      </c>
      <c r="M1011" s="270"/>
      <c r="N1011" s="270"/>
      <c r="O1011" s="270"/>
    </row>
    <row r="1012" spans="1:15" hidden="1">
      <c r="A1012" s="269">
        <v>45808</v>
      </c>
      <c r="B1012" s="270" t="s">
        <v>1881</v>
      </c>
      <c r="C1012" s="270" t="s">
        <v>175</v>
      </c>
      <c r="D1012" s="271" t="s">
        <v>502</v>
      </c>
      <c r="E1012" s="272">
        <v>99500</v>
      </c>
      <c r="F1012" s="272">
        <v>177.38004081987157</v>
      </c>
      <c r="G1012" s="282">
        <v>579.64599999999996</v>
      </c>
      <c r="H1012" s="274" t="s">
        <v>176</v>
      </c>
      <c r="I1012" s="274" t="s">
        <v>1882</v>
      </c>
      <c r="J1012" s="274" t="s">
        <v>98</v>
      </c>
      <c r="K1012" s="290" t="s">
        <v>205</v>
      </c>
      <c r="L1012" s="274" t="s">
        <v>155</v>
      </c>
      <c r="M1012" s="270"/>
      <c r="N1012" s="270"/>
      <c r="O1012" s="270"/>
    </row>
    <row r="1013" spans="1:15" hidden="1">
      <c r="A1013" s="269">
        <v>45808</v>
      </c>
      <c r="B1013" s="270" t="s">
        <v>2015</v>
      </c>
      <c r="C1013" s="270" t="s">
        <v>175</v>
      </c>
      <c r="D1013" s="271" t="s">
        <v>117</v>
      </c>
      <c r="E1013" s="272">
        <v>31000</v>
      </c>
      <c r="F1013" s="272">
        <v>55.26413332076401</v>
      </c>
      <c r="G1013" s="282">
        <v>579.64599999999996</v>
      </c>
      <c r="H1013" s="274" t="s">
        <v>193</v>
      </c>
      <c r="I1013" s="274" t="s">
        <v>2016</v>
      </c>
      <c r="J1013" s="274" t="s">
        <v>98</v>
      </c>
      <c r="K1013" s="290" t="s">
        <v>205</v>
      </c>
      <c r="L1013" s="274" t="s">
        <v>155</v>
      </c>
      <c r="M1013" s="270"/>
      <c r="N1013" s="270"/>
      <c r="O1013" s="270"/>
    </row>
    <row r="1014" spans="1:15" hidden="1">
      <c r="A1014" s="269">
        <v>45808</v>
      </c>
      <c r="B1014" s="270" t="s">
        <v>2064</v>
      </c>
      <c r="C1014" s="270" t="s">
        <v>327</v>
      </c>
      <c r="D1014" s="271" t="s">
        <v>117</v>
      </c>
      <c r="E1014" s="272">
        <v>40500</v>
      </c>
      <c r="F1014" s="272">
        <v>72.199916112611035</v>
      </c>
      <c r="G1014" s="282">
        <v>579.64599999999996</v>
      </c>
      <c r="H1014" s="274" t="s">
        <v>497</v>
      </c>
      <c r="I1014" s="274" t="s">
        <v>2065</v>
      </c>
      <c r="J1014" s="274" t="s">
        <v>98</v>
      </c>
      <c r="K1014" s="290" t="s">
        <v>205</v>
      </c>
      <c r="L1014" s="274" t="s">
        <v>155</v>
      </c>
      <c r="M1014" s="270"/>
      <c r="N1014" s="270"/>
      <c r="O1014" s="270"/>
    </row>
    <row r="1015" spans="1:15" hidden="1">
      <c r="A1015" s="269">
        <v>45808</v>
      </c>
      <c r="B1015" s="270" t="s">
        <v>2066</v>
      </c>
      <c r="C1015" s="270" t="s">
        <v>199</v>
      </c>
      <c r="D1015" s="271" t="s">
        <v>117</v>
      </c>
      <c r="E1015" s="272">
        <v>46000</v>
      </c>
      <c r="F1015" s="272">
        <v>82.00484299210143</v>
      </c>
      <c r="G1015" s="282">
        <v>579.64599999999996</v>
      </c>
      <c r="H1015" s="274" t="s">
        <v>497</v>
      </c>
      <c r="I1015" s="274" t="s">
        <v>2067</v>
      </c>
      <c r="J1015" s="274" t="s">
        <v>98</v>
      </c>
      <c r="K1015" s="290" t="s">
        <v>205</v>
      </c>
      <c r="L1015" s="274" t="s">
        <v>155</v>
      </c>
      <c r="M1015" s="270"/>
      <c r="N1015" s="270"/>
      <c r="O1015" s="270"/>
    </row>
    <row r="1016" spans="1:15" hidden="1">
      <c r="A1016" s="294">
        <v>45809</v>
      </c>
      <c r="B1016" s="270" t="s">
        <v>2228</v>
      </c>
      <c r="C1016" s="276" t="s">
        <v>179</v>
      </c>
      <c r="D1016" s="271" t="s">
        <v>502</v>
      </c>
      <c r="E1016" s="272">
        <v>75000</v>
      </c>
      <c r="F1016" s="272">
        <v>133.70354835668712</v>
      </c>
      <c r="G1016" s="282">
        <v>579.64599999999996</v>
      </c>
      <c r="H1016" s="274" t="s">
        <v>176</v>
      </c>
      <c r="I1016" s="274" t="s">
        <v>177</v>
      </c>
      <c r="J1016" s="274" t="s">
        <v>98</v>
      </c>
      <c r="K1016" s="290" t="s">
        <v>205</v>
      </c>
      <c r="L1016" s="270" t="s">
        <v>155</v>
      </c>
      <c r="M1016" s="270"/>
      <c r="N1016" s="270"/>
      <c r="O1016" s="270"/>
    </row>
    <row r="1017" spans="1:15" hidden="1">
      <c r="A1017" s="294">
        <v>45809</v>
      </c>
      <c r="B1017" s="270" t="s">
        <v>2288</v>
      </c>
      <c r="C1017" s="270" t="s">
        <v>175</v>
      </c>
      <c r="D1017" s="270" t="s">
        <v>117</v>
      </c>
      <c r="E1017" s="272">
        <v>33000</v>
      </c>
      <c r="F1017" s="272">
        <v>58.829561276942329</v>
      </c>
      <c r="G1017" s="282">
        <v>579.64599999999996</v>
      </c>
      <c r="H1017" s="274" t="s">
        <v>190</v>
      </c>
      <c r="I1017" s="274" t="s">
        <v>191</v>
      </c>
      <c r="J1017" s="274" t="s">
        <v>98</v>
      </c>
      <c r="K1017" s="290" t="s">
        <v>205</v>
      </c>
      <c r="L1017" s="270" t="s">
        <v>155</v>
      </c>
      <c r="M1017" s="270"/>
      <c r="N1017" s="270"/>
      <c r="O1017" s="270"/>
    </row>
    <row r="1018" spans="1:15" hidden="1">
      <c r="A1018" s="294">
        <v>45809</v>
      </c>
      <c r="B1018" s="270" t="s">
        <v>2289</v>
      </c>
      <c r="C1018" s="276" t="s">
        <v>179</v>
      </c>
      <c r="D1018" s="270" t="s">
        <v>117</v>
      </c>
      <c r="E1018" s="272">
        <v>70000</v>
      </c>
      <c r="F1018" s="272">
        <v>124.78997846624131</v>
      </c>
      <c r="G1018" s="282">
        <v>579.64599999999996</v>
      </c>
      <c r="H1018" s="274" t="s">
        <v>190</v>
      </c>
      <c r="I1018" s="274" t="s">
        <v>209</v>
      </c>
      <c r="J1018" s="274" t="s">
        <v>98</v>
      </c>
      <c r="K1018" s="290" t="s">
        <v>205</v>
      </c>
      <c r="L1018" s="270" t="s">
        <v>155</v>
      </c>
      <c r="M1018" s="270"/>
      <c r="N1018" s="270"/>
      <c r="O1018" s="270"/>
    </row>
    <row r="1019" spans="1:15" hidden="1">
      <c r="A1019" s="294">
        <v>45810</v>
      </c>
      <c r="B1019" s="270" t="s">
        <v>2337</v>
      </c>
      <c r="C1019" s="277" t="s">
        <v>2342</v>
      </c>
      <c r="D1019" s="270" t="s">
        <v>118</v>
      </c>
      <c r="E1019" s="272">
        <v>6000</v>
      </c>
      <c r="F1019" s="272">
        <v>10.696283868534969</v>
      </c>
      <c r="G1019" s="282">
        <v>579.64599999999996</v>
      </c>
      <c r="H1019" s="274" t="s">
        <v>196</v>
      </c>
      <c r="I1019" s="274" t="s">
        <v>158</v>
      </c>
      <c r="J1019" s="274" t="s">
        <v>98</v>
      </c>
      <c r="K1019" s="290" t="s">
        <v>205</v>
      </c>
      <c r="L1019" s="270" t="s">
        <v>155</v>
      </c>
      <c r="M1019" s="270"/>
      <c r="N1019" s="270"/>
      <c r="O1019" s="270"/>
    </row>
    <row r="1020" spans="1:15" hidden="1">
      <c r="A1020" s="294">
        <v>45810</v>
      </c>
      <c r="B1020" s="270" t="s">
        <v>2338</v>
      </c>
      <c r="C1020" s="276" t="s">
        <v>2344</v>
      </c>
      <c r="D1020" s="270" t="s">
        <v>120</v>
      </c>
      <c r="E1020" s="272">
        <v>200000</v>
      </c>
      <c r="F1020" s="272">
        <v>356.54279561783233</v>
      </c>
      <c r="G1020" s="282">
        <v>579.64599999999996</v>
      </c>
      <c r="H1020" s="274" t="s">
        <v>217</v>
      </c>
      <c r="I1020" s="274" t="s">
        <v>330</v>
      </c>
      <c r="J1020" s="274" t="s">
        <v>98</v>
      </c>
      <c r="K1020" s="290" t="s">
        <v>205</v>
      </c>
      <c r="L1020" s="270" t="s">
        <v>155</v>
      </c>
      <c r="M1020" s="270"/>
      <c r="N1020" s="270"/>
      <c r="O1020" s="270"/>
    </row>
    <row r="1021" spans="1:15" hidden="1">
      <c r="A1021" s="294">
        <v>45810</v>
      </c>
      <c r="B1021" s="270" t="s">
        <v>2290</v>
      </c>
      <c r="C1021" s="276" t="s">
        <v>179</v>
      </c>
      <c r="D1021" s="270" t="s">
        <v>117</v>
      </c>
      <c r="E1021" s="272">
        <v>15000</v>
      </c>
      <c r="F1021" s="272">
        <v>26.740709671337424</v>
      </c>
      <c r="G1021" s="282">
        <v>579.64599999999996</v>
      </c>
      <c r="H1021" s="274" t="s">
        <v>190</v>
      </c>
      <c r="I1021" s="274" t="s">
        <v>252</v>
      </c>
      <c r="J1021" s="274" t="s">
        <v>98</v>
      </c>
      <c r="K1021" s="290" t="s">
        <v>205</v>
      </c>
      <c r="L1021" s="270" t="s">
        <v>155</v>
      </c>
      <c r="M1021" s="270"/>
      <c r="N1021" s="270"/>
      <c r="O1021" s="270"/>
    </row>
    <row r="1022" spans="1:15" hidden="1">
      <c r="A1022" s="294">
        <v>45810</v>
      </c>
      <c r="B1022" s="295" t="s">
        <v>2151</v>
      </c>
      <c r="C1022" s="270" t="s">
        <v>127</v>
      </c>
      <c r="D1022" s="271" t="s">
        <v>502</v>
      </c>
      <c r="E1022" s="272">
        <v>155200</v>
      </c>
      <c r="F1022" s="272">
        <v>276.67720939943786</v>
      </c>
      <c r="G1022" s="273">
        <v>560.94248000000005</v>
      </c>
      <c r="H1022" s="274" t="s">
        <v>148</v>
      </c>
      <c r="I1022" s="274" t="s">
        <v>129</v>
      </c>
      <c r="J1022" s="274" t="s">
        <v>98</v>
      </c>
      <c r="K1022" s="287" t="s">
        <v>2150</v>
      </c>
      <c r="L1022" s="296" t="s">
        <v>155</v>
      </c>
      <c r="M1022" s="270"/>
      <c r="N1022" s="270"/>
      <c r="O1022" s="270"/>
    </row>
    <row r="1023" spans="1:15" hidden="1">
      <c r="A1023" s="294">
        <v>45810</v>
      </c>
      <c r="B1023" s="295" t="s">
        <v>1708</v>
      </c>
      <c r="C1023" s="270" t="s">
        <v>123</v>
      </c>
      <c r="D1023" s="270" t="s">
        <v>117</v>
      </c>
      <c r="E1023" s="272">
        <v>150000</v>
      </c>
      <c r="F1023" s="272">
        <v>267.40709671337424</v>
      </c>
      <c r="G1023" s="282">
        <v>579.64599999999996</v>
      </c>
      <c r="H1023" s="274" t="s">
        <v>148</v>
      </c>
      <c r="I1023" s="274" t="s">
        <v>130</v>
      </c>
      <c r="J1023" s="274" t="s">
        <v>98</v>
      </c>
      <c r="K1023" s="290" t="s">
        <v>205</v>
      </c>
      <c r="L1023" s="270" t="s">
        <v>155</v>
      </c>
      <c r="M1023" s="270"/>
      <c r="N1023" s="270"/>
      <c r="O1023" s="270"/>
    </row>
    <row r="1024" spans="1:15" hidden="1">
      <c r="A1024" s="297">
        <v>45811</v>
      </c>
      <c r="B1024" s="270" t="s">
        <v>2215</v>
      </c>
      <c r="C1024" s="270" t="s">
        <v>175</v>
      </c>
      <c r="D1024" s="271" t="s">
        <v>502</v>
      </c>
      <c r="E1024" s="272">
        <v>28000</v>
      </c>
      <c r="F1024" s="272">
        <v>49.915991386496522</v>
      </c>
      <c r="G1024" s="282">
        <v>579.64599999999996</v>
      </c>
      <c r="H1024" s="274" t="s">
        <v>187</v>
      </c>
      <c r="I1024" s="274" t="s">
        <v>2216</v>
      </c>
      <c r="J1024" s="274" t="s">
        <v>98</v>
      </c>
      <c r="K1024" s="290" t="s">
        <v>205</v>
      </c>
      <c r="L1024" s="270" t="s">
        <v>155</v>
      </c>
      <c r="M1024" s="270"/>
      <c r="N1024" s="270"/>
      <c r="O1024" s="270"/>
    </row>
    <row r="1025" spans="1:15" hidden="1">
      <c r="A1025" s="294">
        <v>45811</v>
      </c>
      <c r="B1025" s="270" t="s">
        <v>2161</v>
      </c>
      <c r="C1025" s="277" t="s">
        <v>2342</v>
      </c>
      <c r="D1025" s="270" t="s">
        <v>118</v>
      </c>
      <c r="E1025" s="272">
        <v>5675</v>
      </c>
      <c r="F1025" s="272">
        <v>10.116901825655992</v>
      </c>
      <c r="G1025" s="282">
        <v>579.64599999999996</v>
      </c>
      <c r="H1025" s="274" t="s">
        <v>643</v>
      </c>
      <c r="I1025" s="274" t="s">
        <v>164</v>
      </c>
      <c r="J1025" s="274" t="s">
        <v>98</v>
      </c>
      <c r="K1025" s="290" t="s">
        <v>205</v>
      </c>
      <c r="L1025" s="270" t="s">
        <v>155</v>
      </c>
      <c r="M1025" s="270"/>
      <c r="N1025" s="270"/>
      <c r="O1025" s="270"/>
    </row>
    <row r="1026" spans="1:15" hidden="1">
      <c r="A1026" s="294">
        <v>45811</v>
      </c>
      <c r="B1026" s="270" t="s">
        <v>2217</v>
      </c>
      <c r="C1026" s="276" t="s">
        <v>179</v>
      </c>
      <c r="D1026" s="271" t="s">
        <v>502</v>
      </c>
      <c r="E1026" s="272">
        <v>45000</v>
      </c>
      <c r="F1026" s="272">
        <v>80.222129014012268</v>
      </c>
      <c r="G1026" s="282">
        <v>579.64599999999996</v>
      </c>
      <c r="H1026" s="274" t="s">
        <v>187</v>
      </c>
      <c r="I1026" s="274" t="s">
        <v>2218</v>
      </c>
      <c r="J1026" s="274" t="s">
        <v>98</v>
      </c>
      <c r="K1026" s="290" t="s">
        <v>205</v>
      </c>
      <c r="L1026" s="270" t="s">
        <v>155</v>
      </c>
      <c r="M1026" s="270"/>
      <c r="N1026" s="270"/>
      <c r="O1026" s="270"/>
    </row>
    <row r="1027" spans="1:15" hidden="1">
      <c r="A1027" s="294">
        <v>45811</v>
      </c>
      <c r="B1027" s="270" t="s">
        <v>2229</v>
      </c>
      <c r="C1027" s="276" t="s">
        <v>179</v>
      </c>
      <c r="D1027" s="271" t="s">
        <v>502</v>
      </c>
      <c r="E1027" s="272">
        <v>30000</v>
      </c>
      <c r="F1027" s="272">
        <v>53.481419342674847</v>
      </c>
      <c r="G1027" s="282">
        <v>579.64599999999996</v>
      </c>
      <c r="H1027" s="274" t="s">
        <v>176</v>
      </c>
      <c r="I1027" s="274" t="s">
        <v>250</v>
      </c>
      <c r="J1027" s="274" t="s">
        <v>98</v>
      </c>
      <c r="K1027" s="290" t="s">
        <v>205</v>
      </c>
      <c r="L1027" s="270" t="s">
        <v>155</v>
      </c>
      <c r="M1027" s="270"/>
      <c r="N1027" s="270"/>
      <c r="O1027" s="270"/>
    </row>
    <row r="1028" spans="1:15" hidden="1">
      <c r="A1028" s="294">
        <v>45811</v>
      </c>
      <c r="B1028" s="270" t="s">
        <v>2230</v>
      </c>
      <c r="C1028" s="270" t="s">
        <v>175</v>
      </c>
      <c r="D1028" s="271" t="s">
        <v>502</v>
      </c>
      <c r="E1028" s="272">
        <v>28000</v>
      </c>
      <c r="F1028" s="272">
        <v>49.915991386496522</v>
      </c>
      <c r="G1028" s="282">
        <v>579.64599999999996</v>
      </c>
      <c r="H1028" s="274" t="s">
        <v>176</v>
      </c>
      <c r="I1028" s="274" t="s">
        <v>297</v>
      </c>
      <c r="J1028" s="274" t="s">
        <v>98</v>
      </c>
      <c r="K1028" s="290" t="s">
        <v>205</v>
      </c>
      <c r="L1028" s="270" t="s">
        <v>155</v>
      </c>
      <c r="M1028" s="270"/>
      <c r="N1028" s="270"/>
      <c r="O1028" s="270"/>
    </row>
    <row r="1029" spans="1:15" hidden="1">
      <c r="A1029" s="294">
        <v>45811</v>
      </c>
      <c r="B1029" s="270" t="s">
        <v>2236</v>
      </c>
      <c r="C1029" s="270" t="s">
        <v>403</v>
      </c>
      <c r="D1029" s="271" t="s">
        <v>502</v>
      </c>
      <c r="E1029" s="272">
        <v>1500</v>
      </c>
      <c r="F1029" s="272">
        <v>2.6740709671337424</v>
      </c>
      <c r="G1029" s="282">
        <v>579.64599999999996</v>
      </c>
      <c r="H1029" s="274" t="s">
        <v>332</v>
      </c>
      <c r="I1029" s="274" t="s">
        <v>333</v>
      </c>
      <c r="J1029" s="274" t="s">
        <v>98</v>
      </c>
      <c r="K1029" s="290" t="s">
        <v>205</v>
      </c>
      <c r="L1029" s="270" t="s">
        <v>155</v>
      </c>
      <c r="M1029" s="270"/>
      <c r="N1029" s="270"/>
      <c r="O1029" s="270"/>
    </row>
    <row r="1030" spans="1:15" hidden="1">
      <c r="A1030" s="294">
        <v>45811</v>
      </c>
      <c r="B1030" s="270" t="s">
        <v>2260</v>
      </c>
      <c r="C1030" s="270" t="s">
        <v>175</v>
      </c>
      <c r="D1030" s="270" t="s">
        <v>117</v>
      </c>
      <c r="E1030" s="272">
        <v>20000</v>
      </c>
      <c r="F1030" s="272">
        <v>35.654279561783227</v>
      </c>
      <c r="G1030" s="282">
        <v>579.64599999999996</v>
      </c>
      <c r="H1030" s="274" t="s">
        <v>196</v>
      </c>
      <c r="I1030" s="274" t="s">
        <v>160</v>
      </c>
      <c r="J1030" s="274" t="s">
        <v>98</v>
      </c>
      <c r="K1030" s="290" t="s">
        <v>205</v>
      </c>
      <c r="L1030" s="270" t="s">
        <v>155</v>
      </c>
      <c r="M1030" s="270"/>
      <c r="N1030" s="270"/>
      <c r="O1030" s="270"/>
    </row>
    <row r="1031" spans="1:15" hidden="1">
      <c r="A1031" s="294">
        <v>45811</v>
      </c>
      <c r="B1031" s="270" t="s">
        <v>2261</v>
      </c>
      <c r="C1031" s="276" t="s">
        <v>179</v>
      </c>
      <c r="D1031" s="270" t="s">
        <v>117</v>
      </c>
      <c r="E1031" s="272">
        <v>50000</v>
      </c>
      <c r="F1031" s="272">
        <v>89.135698904458081</v>
      </c>
      <c r="G1031" s="282">
        <v>579.64599999999996</v>
      </c>
      <c r="H1031" s="274" t="s">
        <v>196</v>
      </c>
      <c r="I1031" s="274" t="s">
        <v>162</v>
      </c>
      <c r="J1031" s="274" t="s">
        <v>98</v>
      </c>
      <c r="K1031" s="290" t="s">
        <v>205</v>
      </c>
      <c r="L1031" s="270" t="s">
        <v>155</v>
      </c>
      <c r="M1031" s="270"/>
      <c r="N1031" s="270"/>
      <c r="O1031" s="270"/>
    </row>
    <row r="1032" spans="1:15" hidden="1">
      <c r="A1032" s="294">
        <v>45811</v>
      </c>
      <c r="B1032" s="270" t="s">
        <v>2262</v>
      </c>
      <c r="C1032" s="270" t="s">
        <v>175</v>
      </c>
      <c r="D1032" s="270" t="s">
        <v>117</v>
      </c>
      <c r="E1032" s="272">
        <v>7000</v>
      </c>
      <c r="F1032" s="272">
        <v>12.47899784662413</v>
      </c>
      <c r="G1032" s="282">
        <v>579.64599999999996</v>
      </c>
      <c r="H1032" s="274" t="s">
        <v>196</v>
      </c>
      <c r="I1032" s="274" t="s">
        <v>261</v>
      </c>
      <c r="J1032" s="274" t="s">
        <v>98</v>
      </c>
      <c r="K1032" s="290" t="s">
        <v>205</v>
      </c>
      <c r="L1032" s="270" t="s">
        <v>155</v>
      </c>
      <c r="M1032" s="270"/>
      <c r="N1032" s="270"/>
      <c r="O1032" s="270"/>
    </row>
    <row r="1033" spans="1:15" hidden="1">
      <c r="A1033" s="294">
        <v>45811</v>
      </c>
      <c r="B1033" s="270" t="s">
        <v>1245</v>
      </c>
      <c r="C1033" s="276" t="s">
        <v>1321</v>
      </c>
      <c r="D1033" s="270" t="s">
        <v>117</v>
      </c>
      <c r="E1033" s="272">
        <v>36250</v>
      </c>
      <c r="F1033" s="272">
        <v>64.6233817057321</v>
      </c>
      <c r="G1033" s="282">
        <v>579.64599999999996</v>
      </c>
      <c r="H1033" s="274" t="s">
        <v>497</v>
      </c>
      <c r="I1033" s="274" t="s">
        <v>201</v>
      </c>
      <c r="J1033" s="274" t="s">
        <v>98</v>
      </c>
      <c r="K1033" s="290" t="s">
        <v>205</v>
      </c>
      <c r="L1033" s="270" t="s">
        <v>155</v>
      </c>
      <c r="M1033" s="270"/>
      <c r="N1033" s="270"/>
      <c r="O1033" s="270"/>
    </row>
    <row r="1034" spans="1:15" hidden="1">
      <c r="A1034" s="294">
        <v>45811</v>
      </c>
      <c r="B1034" s="270" t="s">
        <v>2325</v>
      </c>
      <c r="C1034" s="270" t="s">
        <v>175</v>
      </c>
      <c r="D1034" s="270" t="s">
        <v>120</v>
      </c>
      <c r="E1034" s="272">
        <v>33000</v>
      </c>
      <c r="F1034" s="272">
        <v>58.829561276942329</v>
      </c>
      <c r="G1034" s="282">
        <v>579.64599999999996</v>
      </c>
      <c r="H1034" s="274" t="s">
        <v>217</v>
      </c>
      <c r="I1034" s="274" t="s">
        <v>218</v>
      </c>
      <c r="J1034" s="274" t="s">
        <v>98</v>
      </c>
      <c r="K1034" s="290" t="s">
        <v>205</v>
      </c>
      <c r="L1034" s="270" t="s">
        <v>155</v>
      </c>
      <c r="M1034" s="270"/>
      <c r="N1034" s="270"/>
      <c r="O1034" s="270"/>
    </row>
    <row r="1035" spans="1:15" hidden="1">
      <c r="A1035" s="294">
        <v>45811</v>
      </c>
      <c r="B1035" s="270" t="s">
        <v>2339</v>
      </c>
      <c r="C1035" s="276" t="s">
        <v>2344</v>
      </c>
      <c r="D1035" s="270" t="s">
        <v>120</v>
      </c>
      <c r="E1035" s="272">
        <v>162000</v>
      </c>
      <c r="F1035" s="272">
        <v>288.79966445044414</v>
      </c>
      <c r="G1035" s="282">
        <v>579.64599999999996</v>
      </c>
      <c r="H1035" s="274" t="s">
        <v>217</v>
      </c>
      <c r="I1035" s="274" t="s">
        <v>401</v>
      </c>
      <c r="J1035" s="274" t="s">
        <v>98</v>
      </c>
      <c r="K1035" s="290" t="s">
        <v>205</v>
      </c>
      <c r="L1035" s="270" t="s">
        <v>155</v>
      </c>
      <c r="M1035" s="270"/>
      <c r="N1035" s="270"/>
      <c r="O1035" s="270"/>
    </row>
    <row r="1036" spans="1:15" hidden="1">
      <c r="A1036" s="294">
        <v>45811</v>
      </c>
      <c r="B1036" s="270" t="s">
        <v>2291</v>
      </c>
      <c r="C1036" s="276" t="s">
        <v>179</v>
      </c>
      <c r="D1036" s="270" t="s">
        <v>117</v>
      </c>
      <c r="E1036" s="272">
        <v>15000</v>
      </c>
      <c r="F1036" s="272">
        <v>26.740709671337424</v>
      </c>
      <c r="G1036" s="282">
        <v>579.64599999999996</v>
      </c>
      <c r="H1036" s="274" t="s">
        <v>190</v>
      </c>
      <c r="I1036" s="274" t="s">
        <v>253</v>
      </c>
      <c r="J1036" s="274" t="s">
        <v>98</v>
      </c>
      <c r="K1036" s="290" t="s">
        <v>205</v>
      </c>
      <c r="L1036" s="270" t="s">
        <v>155</v>
      </c>
      <c r="M1036" s="270"/>
      <c r="N1036" s="270"/>
      <c r="O1036" s="270"/>
    </row>
    <row r="1037" spans="1:15" hidden="1">
      <c r="A1037" s="294">
        <v>45812</v>
      </c>
      <c r="B1037" s="270" t="s">
        <v>2199</v>
      </c>
      <c r="C1037" s="270" t="s">
        <v>127</v>
      </c>
      <c r="D1037" s="270" t="s">
        <v>119</v>
      </c>
      <c r="E1037" s="272">
        <v>174625</v>
      </c>
      <c r="F1037" s="272">
        <v>311.30642842381985</v>
      </c>
      <c r="G1037" s="273">
        <v>560.94248000000005</v>
      </c>
      <c r="H1037" s="274" t="s">
        <v>153</v>
      </c>
      <c r="I1037" s="274" t="s">
        <v>154</v>
      </c>
      <c r="J1037" s="274" t="s">
        <v>98</v>
      </c>
      <c r="K1037" s="287" t="s">
        <v>2150</v>
      </c>
      <c r="L1037" s="296" t="s">
        <v>155</v>
      </c>
      <c r="M1037" s="270"/>
      <c r="N1037" s="270"/>
      <c r="O1037" s="270"/>
    </row>
    <row r="1038" spans="1:15" hidden="1">
      <c r="A1038" s="294">
        <v>45812</v>
      </c>
      <c r="B1038" s="270" t="s">
        <v>2202</v>
      </c>
      <c r="C1038" s="276" t="s">
        <v>179</v>
      </c>
      <c r="D1038" s="270" t="s">
        <v>117</v>
      </c>
      <c r="E1038" s="272">
        <v>111000</v>
      </c>
      <c r="F1038" s="272">
        <v>197.88125156789692</v>
      </c>
      <c r="G1038" s="282">
        <v>579.64599999999996</v>
      </c>
      <c r="H1038" s="274" t="s">
        <v>1691</v>
      </c>
      <c r="I1038" s="274" t="s">
        <v>220</v>
      </c>
      <c r="J1038" s="274" t="s">
        <v>98</v>
      </c>
      <c r="K1038" s="290" t="s">
        <v>205</v>
      </c>
      <c r="L1038" s="270" t="s">
        <v>155</v>
      </c>
      <c r="M1038" s="270"/>
      <c r="N1038" s="270"/>
      <c r="O1038" s="270"/>
    </row>
    <row r="1039" spans="1:15" hidden="1">
      <c r="A1039" s="294">
        <v>45812</v>
      </c>
      <c r="B1039" s="270" t="s">
        <v>2163</v>
      </c>
      <c r="C1039" s="276" t="s">
        <v>1321</v>
      </c>
      <c r="D1039" s="270" t="s">
        <v>118</v>
      </c>
      <c r="E1039" s="272">
        <v>79500</v>
      </c>
      <c r="F1039" s="272">
        <v>141.72576125808834</v>
      </c>
      <c r="G1039" s="282">
        <v>579.64599999999996</v>
      </c>
      <c r="H1039" s="274" t="s">
        <v>643</v>
      </c>
      <c r="I1039" s="274" t="s">
        <v>168</v>
      </c>
      <c r="J1039" s="274" t="s">
        <v>98</v>
      </c>
      <c r="K1039" s="290" t="s">
        <v>205</v>
      </c>
      <c r="L1039" s="270" t="s">
        <v>155</v>
      </c>
      <c r="M1039" s="270"/>
      <c r="N1039" s="270"/>
      <c r="O1039" s="270"/>
    </row>
    <row r="1040" spans="1:15" hidden="1">
      <c r="A1040" s="294">
        <v>45812</v>
      </c>
      <c r="B1040" s="270" t="s">
        <v>2162</v>
      </c>
      <c r="C1040" s="277" t="s">
        <v>2342</v>
      </c>
      <c r="D1040" s="270" t="s">
        <v>118</v>
      </c>
      <c r="E1040" s="272">
        <v>15500</v>
      </c>
      <c r="F1040" s="272">
        <v>27.632066660382005</v>
      </c>
      <c r="G1040" s="282">
        <v>579.64599999999996</v>
      </c>
      <c r="H1040" s="274" t="s">
        <v>193</v>
      </c>
      <c r="I1040" s="274" t="s">
        <v>166</v>
      </c>
      <c r="J1040" s="274" t="s">
        <v>98</v>
      </c>
      <c r="K1040" s="290" t="s">
        <v>205</v>
      </c>
      <c r="L1040" s="270" t="s">
        <v>155</v>
      </c>
      <c r="M1040" s="270"/>
      <c r="N1040" s="270"/>
      <c r="O1040" s="270"/>
    </row>
    <row r="1041" spans="1:15" hidden="1">
      <c r="A1041" s="294">
        <v>45812</v>
      </c>
      <c r="B1041" s="270" t="s">
        <v>2263</v>
      </c>
      <c r="C1041" s="276" t="s">
        <v>179</v>
      </c>
      <c r="D1041" s="270" t="s">
        <v>117</v>
      </c>
      <c r="E1041" s="272">
        <v>20000</v>
      </c>
      <c r="F1041" s="272">
        <v>35.654279561783227</v>
      </c>
      <c r="G1041" s="282">
        <v>579.64599999999996</v>
      </c>
      <c r="H1041" s="274" t="s">
        <v>196</v>
      </c>
      <c r="I1041" s="274" t="s">
        <v>281</v>
      </c>
      <c r="J1041" s="274" t="s">
        <v>98</v>
      </c>
      <c r="K1041" s="290" t="s">
        <v>205</v>
      </c>
      <c r="L1041" s="270" t="s">
        <v>155</v>
      </c>
      <c r="M1041" s="270"/>
      <c r="N1041" s="270"/>
      <c r="O1041" s="270"/>
    </row>
    <row r="1042" spans="1:15" hidden="1">
      <c r="A1042" s="294">
        <v>45812</v>
      </c>
      <c r="B1042" s="270" t="s">
        <v>2299</v>
      </c>
      <c r="C1042" s="276" t="s">
        <v>179</v>
      </c>
      <c r="D1042" s="270" t="s">
        <v>117</v>
      </c>
      <c r="E1042" s="272">
        <v>111000</v>
      </c>
      <c r="F1042" s="272">
        <v>197.88125156789692</v>
      </c>
      <c r="G1042" s="282">
        <v>579.64599999999996</v>
      </c>
      <c r="H1042" s="274" t="s">
        <v>497</v>
      </c>
      <c r="I1042" s="274" t="s">
        <v>215</v>
      </c>
      <c r="J1042" s="274" t="s">
        <v>98</v>
      </c>
      <c r="K1042" s="290" t="s">
        <v>205</v>
      </c>
      <c r="L1042" s="270" t="s">
        <v>155</v>
      </c>
      <c r="M1042" s="270"/>
      <c r="N1042" s="270"/>
      <c r="O1042" s="270"/>
    </row>
    <row r="1043" spans="1:15" hidden="1">
      <c r="A1043" s="294">
        <v>45812</v>
      </c>
      <c r="B1043" s="270" t="s">
        <v>2326</v>
      </c>
      <c r="C1043" s="276" t="s">
        <v>179</v>
      </c>
      <c r="D1043" s="270" t="s">
        <v>120</v>
      </c>
      <c r="E1043" s="272">
        <v>40000</v>
      </c>
      <c r="F1043" s="272">
        <v>71.308559123566454</v>
      </c>
      <c r="G1043" s="282">
        <v>579.64599999999996</v>
      </c>
      <c r="H1043" s="274" t="s">
        <v>217</v>
      </c>
      <c r="I1043" s="274" t="s">
        <v>225</v>
      </c>
      <c r="J1043" s="274" t="s">
        <v>98</v>
      </c>
      <c r="K1043" s="290" t="s">
        <v>205</v>
      </c>
      <c r="L1043" s="270" t="s">
        <v>155</v>
      </c>
      <c r="M1043" s="270"/>
      <c r="N1043" s="270"/>
      <c r="O1043" s="270"/>
    </row>
    <row r="1044" spans="1:15" hidden="1">
      <c r="A1044" s="294">
        <v>45812</v>
      </c>
      <c r="B1044" s="295" t="s">
        <v>2152</v>
      </c>
      <c r="C1044" s="276" t="s">
        <v>126</v>
      </c>
      <c r="D1044" s="270" t="s">
        <v>118</v>
      </c>
      <c r="E1044" s="272">
        <v>260000</v>
      </c>
      <c r="F1044" s="272">
        <v>463.50563430318198</v>
      </c>
      <c r="G1044" s="282">
        <v>579.64599999999996</v>
      </c>
      <c r="H1044" s="274" t="s">
        <v>148</v>
      </c>
      <c r="I1044" s="274" t="s">
        <v>132</v>
      </c>
      <c r="J1044" s="274" t="s">
        <v>98</v>
      </c>
      <c r="K1044" s="290" t="s">
        <v>205</v>
      </c>
      <c r="L1044" s="270" t="s">
        <v>155</v>
      </c>
      <c r="M1044" s="270"/>
      <c r="N1044" s="270"/>
      <c r="O1044" s="270"/>
    </row>
    <row r="1045" spans="1:15" hidden="1">
      <c r="A1045" s="294">
        <v>45813</v>
      </c>
      <c r="B1045" s="270" t="s">
        <v>2164</v>
      </c>
      <c r="C1045" s="270" t="s">
        <v>175</v>
      </c>
      <c r="D1045" s="270" t="s">
        <v>118</v>
      </c>
      <c r="E1045" s="272">
        <v>18000</v>
      </c>
      <c r="F1045" s="272">
        <v>32.088851605604908</v>
      </c>
      <c r="G1045" s="282">
        <v>579.64599999999996</v>
      </c>
      <c r="H1045" s="274" t="s">
        <v>643</v>
      </c>
      <c r="I1045" s="274" t="s">
        <v>170</v>
      </c>
      <c r="J1045" s="274" t="s">
        <v>98</v>
      </c>
      <c r="K1045" s="290" t="s">
        <v>205</v>
      </c>
      <c r="L1045" s="270" t="s">
        <v>155</v>
      </c>
      <c r="M1045" s="270"/>
      <c r="N1045" s="270"/>
      <c r="O1045" s="270"/>
    </row>
    <row r="1046" spans="1:15" hidden="1">
      <c r="A1046" s="294">
        <v>45813</v>
      </c>
      <c r="B1046" s="270" t="s">
        <v>2165</v>
      </c>
      <c r="C1046" s="276" t="s">
        <v>179</v>
      </c>
      <c r="D1046" s="270" t="s">
        <v>117</v>
      </c>
      <c r="E1046" s="272">
        <v>225000</v>
      </c>
      <c r="F1046" s="272">
        <v>401.11064507006137</v>
      </c>
      <c r="G1046" s="282">
        <v>579.64599999999996</v>
      </c>
      <c r="H1046" s="274" t="s">
        <v>643</v>
      </c>
      <c r="I1046" s="274" t="s">
        <v>173</v>
      </c>
      <c r="J1046" s="274" t="s">
        <v>98</v>
      </c>
      <c r="K1046" s="290" t="s">
        <v>205</v>
      </c>
      <c r="L1046" s="270" t="s">
        <v>155</v>
      </c>
      <c r="M1046" s="270"/>
      <c r="N1046" s="270"/>
      <c r="O1046" s="270"/>
    </row>
    <row r="1047" spans="1:15" hidden="1">
      <c r="A1047" s="294">
        <v>45813</v>
      </c>
      <c r="B1047" s="270" t="s">
        <v>2166</v>
      </c>
      <c r="C1047" s="277" t="s">
        <v>2342</v>
      </c>
      <c r="D1047" s="270" t="s">
        <v>117</v>
      </c>
      <c r="E1047" s="272">
        <v>5550</v>
      </c>
      <c r="F1047" s="272">
        <v>9.8940625783948466</v>
      </c>
      <c r="G1047" s="282">
        <v>579.64599999999996</v>
      </c>
      <c r="H1047" s="274" t="s">
        <v>643</v>
      </c>
      <c r="I1047" s="274" t="s">
        <v>185</v>
      </c>
      <c r="J1047" s="274" t="s">
        <v>98</v>
      </c>
      <c r="K1047" s="290" t="s">
        <v>205</v>
      </c>
      <c r="L1047" s="270" t="s">
        <v>155</v>
      </c>
      <c r="M1047" s="270"/>
      <c r="N1047" s="270"/>
      <c r="O1047" s="270"/>
    </row>
    <row r="1048" spans="1:15" hidden="1">
      <c r="A1048" s="294">
        <v>45813</v>
      </c>
      <c r="B1048" s="270" t="s">
        <v>2167</v>
      </c>
      <c r="C1048" s="277" t="s">
        <v>2342</v>
      </c>
      <c r="D1048" s="270" t="s">
        <v>118</v>
      </c>
      <c r="E1048" s="272">
        <v>875</v>
      </c>
      <c r="F1048" s="272">
        <v>1.5598747308280163</v>
      </c>
      <c r="G1048" s="282">
        <v>579.64599999999996</v>
      </c>
      <c r="H1048" s="274" t="s">
        <v>643</v>
      </c>
      <c r="I1048" s="274" t="s">
        <v>197</v>
      </c>
      <c r="J1048" s="274" t="s">
        <v>98</v>
      </c>
      <c r="K1048" s="290" t="s">
        <v>205</v>
      </c>
      <c r="L1048" s="270" t="s">
        <v>155</v>
      </c>
      <c r="M1048" s="270"/>
      <c r="N1048" s="270"/>
      <c r="O1048" s="270"/>
    </row>
    <row r="1049" spans="1:15" hidden="1">
      <c r="A1049" s="294">
        <v>45813</v>
      </c>
      <c r="B1049" s="270" t="s">
        <v>2219</v>
      </c>
      <c r="C1049" s="276" t="s">
        <v>179</v>
      </c>
      <c r="D1049" s="271" t="s">
        <v>502</v>
      </c>
      <c r="E1049" s="272">
        <v>30000</v>
      </c>
      <c r="F1049" s="272">
        <v>53.481419342674847</v>
      </c>
      <c r="G1049" s="282">
        <v>579.64599999999996</v>
      </c>
      <c r="H1049" s="274" t="s">
        <v>187</v>
      </c>
      <c r="I1049" s="274" t="s">
        <v>2220</v>
      </c>
      <c r="J1049" s="274" t="s">
        <v>98</v>
      </c>
      <c r="K1049" s="290" t="s">
        <v>205</v>
      </c>
      <c r="L1049" s="270" t="s">
        <v>155</v>
      </c>
      <c r="M1049" s="270"/>
      <c r="N1049" s="270"/>
      <c r="O1049" s="270"/>
    </row>
    <row r="1050" spans="1:15" hidden="1">
      <c r="A1050" s="294">
        <v>45813</v>
      </c>
      <c r="B1050" s="270" t="s">
        <v>2231</v>
      </c>
      <c r="C1050" s="276" t="s">
        <v>179</v>
      </c>
      <c r="D1050" s="271" t="s">
        <v>502</v>
      </c>
      <c r="E1050" s="272">
        <v>30000</v>
      </c>
      <c r="F1050" s="272">
        <v>53.481419342674847</v>
      </c>
      <c r="G1050" s="282">
        <v>579.64599999999996</v>
      </c>
      <c r="H1050" s="274" t="s">
        <v>176</v>
      </c>
      <c r="I1050" s="274" t="s">
        <v>299</v>
      </c>
      <c r="J1050" s="274" t="s">
        <v>98</v>
      </c>
      <c r="K1050" s="290" t="s">
        <v>205</v>
      </c>
      <c r="L1050" s="270" t="s">
        <v>155</v>
      </c>
      <c r="M1050" s="270"/>
      <c r="N1050" s="270"/>
      <c r="O1050" s="270"/>
    </row>
    <row r="1051" spans="1:15" hidden="1">
      <c r="A1051" s="294">
        <v>45813</v>
      </c>
      <c r="B1051" s="270" t="s">
        <v>2265</v>
      </c>
      <c r="C1051" s="270" t="s">
        <v>1552</v>
      </c>
      <c r="D1051" s="270" t="s">
        <v>117</v>
      </c>
      <c r="E1051" s="272">
        <v>25000</v>
      </c>
      <c r="F1051" s="272">
        <v>44.567849452229041</v>
      </c>
      <c r="G1051" s="282">
        <v>579.64599999999996</v>
      </c>
      <c r="H1051" s="274" t="s">
        <v>196</v>
      </c>
      <c r="I1051" s="274" t="s">
        <v>310</v>
      </c>
      <c r="J1051" s="274" t="s">
        <v>98</v>
      </c>
      <c r="K1051" s="290" t="s">
        <v>205</v>
      </c>
      <c r="L1051" s="270" t="s">
        <v>155</v>
      </c>
      <c r="M1051" s="270"/>
      <c r="N1051" s="270"/>
      <c r="O1051" s="270"/>
    </row>
    <row r="1052" spans="1:15" hidden="1">
      <c r="A1052" s="294">
        <v>45813</v>
      </c>
      <c r="B1052" s="295" t="s">
        <v>2153</v>
      </c>
      <c r="C1052" s="276" t="s">
        <v>126</v>
      </c>
      <c r="D1052" s="270" t="s">
        <v>118</v>
      </c>
      <c r="E1052" s="272">
        <v>500000</v>
      </c>
      <c r="F1052" s="272">
        <v>891.3569890445807</v>
      </c>
      <c r="G1052" s="282">
        <v>579.64599999999996</v>
      </c>
      <c r="H1052" s="274" t="s">
        <v>148</v>
      </c>
      <c r="I1052" s="274" t="s">
        <v>133</v>
      </c>
      <c r="J1052" s="274" t="s">
        <v>98</v>
      </c>
      <c r="K1052" s="290" t="s">
        <v>205</v>
      </c>
      <c r="L1052" s="270" t="s">
        <v>155</v>
      </c>
      <c r="M1052" s="270"/>
      <c r="N1052" s="270"/>
      <c r="O1052" s="270"/>
    </row>
    <row r="1053" spans="1:15" hidden="1">
      <c r="A1053" s="294">
        <v>45814</v>
      </c>
      <c r="B1053" s="270" t="s">
        <v>2264</v>
      </c>
      <c r="C1053" s="270" t="s">
        <v>175</v>
      </c>
      <c r="D1053" s="270" t="s">
        <v>117</v>
      </c>
      <c r="E1053" s="272">
        <v>7000</v>
      </c>
      <c r="F1053" s="272">
        <v>12.47899784662413</v>
      </c>
      <c r="G1053" s="282">
        <v>579.64599999999996</v>
      </c>
      <c r="H1053" s="274" t="s">
        <v>196</v>
      </c>
      <c r="I1053" s="274" t="s">
        <v>305</v>
      </c>
      <c r="J1053" s="274" t="s">
        <v>98</v>
      </c>
      <c r="K1053" s="290" t="s">
        <v>205</v>
      </c>
      <c r="L1053" s="270" t="s">
        <v>155</v>
      </c>
      <c r="M1053" s="270"/>
      <c r="N1053" s="270"/>
      <c r="O1053" s="270"/>
    </row>
    <row r="1054" spans="1:15" hidden="1">
      <c r="A1054" s="294">
        <v>45814</v>
      </c>
      <c r="B1054" s="270" t="s">
        <v>931</v>
      </c>
      <c r="C1054" s="276" t="s">
        <v>1321</v>
      </c>
      <c r="D1054" s="270" t="s">
        <v>118</v>
      </c>
      <c r="E1054" s="272">
        <v>62500</v>
      </c>
      <c r="F1054" s="272">
        <v>111.41962363057259</v>
      </c>
      <c r="G1054" s="282">
        <v>579.64599999999996</v>
      </c>
      <c r="H1054" s="274" t="s">
        <v>176</v>
      </c>
      <c r="I1054" s="274" t="s">
        <v>213</v>
      </c>
      <c r="J1054" s="274" t="s">
        <v>98</v>
      </c>
      <c r="K1054" s="290" t="s">
        <v>205</v>
      </c>
      <c r="L1054" s="270" t="s">
        <v>155</v>
      </c>
      <c r="M1054" s="270"/>
      <c r="N1054" s="270"/>
      <c r="O1054" s="270"/>
    </row>
    <row r="1055" spans="1:15" hidden="1">
      <c r="A1055" s="294">
        <v>45814</v>
      </c>
      <c r="B1055" s="270" t="s">
        <v>2232</v>
      </c>
      <c r="C1055" s="270" t="s">
        <v>1689</v>
      </c>
      <c r="D1055" s="271" t="s">
        <v>1110</v>
      </c>
      <c r="E1055" s="272">
        <v>50000</v>
      </c>
      <c r="F1055" s="272">
        <v>89.135698904458081</v>
      </c>
      <c r="G1055" s="282">
        <v>579.64599999999996</v>
      </c>
      <c r="H1055" s="274" t="s">
        <v>176</v>
      </c>
      <c r="I1055" s="274" t="s">
        <v>320</v>
      </c>
      <c r="J1055" s="274" t="s">
        <v>98</v>
      </c>
      <c r="K1055" s="290" t="s">
        <v>205</v>
      </c>
      <c r="L1055" s="270" t="s">
        <v>155</v>
      </c>
      <c r="M1055" s="270"/>
      <c r="N1055" s="270"/>
      <c r="O1055" s="270"/>
    </row>
    <row r="1056" spans="1:15" hidden="1">
      <c r="A1056" s="294">
        <v>45814</v>
      </c>
      <c r="B1056" s="270" t="s">
        <v>2266</v>
      </c>
      <c r="C1056" s="276" t="s">
        <v>179</v>
      </c>
      <c r="D1056" s="270" t="s">
        <v>117</v>
      </c>
      <c r="E1056" s="272">
        <v>30000</v>
      </c>
      <c r="F1056" s="272">
        <v>53.481419342674847</v>
      </c>
      <c r="G1056" s="282">
        <v>579.64599999999996</v>
      </c>
      <c r="H1056" s="274" t="s">
        <v>196</v>
      </c>
      <c r="I1056" s="274" t="s">
        <v>2267</v>
      </c>
      <c r="J1056" s="274" t="s">
        <v>98</v>
      </c>
      <c r="K1056" s="290" t="s">
        <v>205</v>
      </c>
      <c r="L1056" s="270" t="s">
        <v>155</v>
      </c>
      <c r="M1056" s="270"/>
      <c r="N1056" s="270"/>
      <c r="O1056" s="270"/>
    </row>
    <row r="1057" spans="1:15" hidden="1">
      <c r="A1057" s="294">
        <v>45814</v>
      </c>
      <c r="B1057" s="270" t="s">
        <v>2327</v>
      </c>
      <c r="C1057" s="276" t="s">
        <v>179</v>
      </c>
      <c r="D1057" s="270" t="s">
        <v>120</v>
      </c>
      <c r="E1057" s="272">
        <v>195000</v>
      </c>
      <c r="F1057" s="272">
        <v>347.62922572738648</v>
      </c>
      <c r="G1057" s="282">
        <v>579.64599999999996</v>
      </c>
      <c r="H1057" s="274" t="s">
        <v>217</v>
      </c>
      <c r="I1057" s="274" t="s">
        <v>270</v>
      </c>
      <c r="J1057" s="274" t="s">
        <v>98</v>
      </c>
      <c r="K1057" s="290" t="s">
        <v>205</v>
      </c>
      <c r="L1057" s="270" t="s">
        <v>155</v>
      </c>
      <c r="M1057" s="270"/>
      <c r="N1057" s="270"/>
      <c r="O1057" s="270"/>
    </row>
    <row r="1058" spans="1:15" hidden="1">
      <c r="A1058" s="294">
        <v>45814</v>
      </c>
      <c r="B1058" s="270" t="s">
        <v>2292</v>
      </c>
      <c r="C1058" s="270" t="s">
        <v>175</v>
      </c>
      <c r="D1058" s="270" t="s">
        <v>117</v>
      </c>
      <c r="E1058" s="272">
        <v>33000</v>
      </c>
      <c r="F1058" s="272">
        <v>58.829561276942329</v>
      </c>
      <c r="G1058" s="282">
        <v>579.64599999999996</v>
      </c>
      <c r="H1058" s="274" t="s">
        <v>190</v>
      </c>
      <c r="I1058" s="274" t="s">
        <v>255</v>
      </c>
      <c r="J1058" s="274" t="s">
        <v>98</v>
      </c>
      <c r="K1058" s="290" t="s">
        <v>205</v>
      </c>
      <c r="L1058" s="270" t="s">
        <v>155</v>
      </c>
      <c r="M1058" s="270"/>
      <c r="N1058" s="270"/>
      <c r="O1058" s="270"/>
    </row>
    <row r="1059" spans="1:15" hidden="1">
      <c r="A1059" s="294">
        <v>45814</v>
      </c>
      <c r="B1059" s="270" t="s">
        <v>2293</v>
      </c>
      <c r="C1059" s="276" t="s">
        <v>179</v>
      </c>
      <c r="D1059" s="270" t="s">
        <v>117</v>
      </c>
      <c r="E1059" s="272">
        <v>45000</v>
      </c>
      <c r="F1059" s="272">
        <v>80.222129014012268</v>
      </c>
      <c r="G1059" s="282">
        <v>579.64599999999996</v>
      </c>
      <c r="H1059" s="274" t="s">
        <v>190</v>
      </c>
      <c r="I1059" s="274" t="s">
        <v>325</v>
      </c>
      <c r="J1059" s="274" t="s">
        <v>98</v>
      </c>
      <c r="K1059" s="290" t="s">
        <v>205</v>
      </c>
      <c r="L1059" s="270" t="s">
        <v>155</v>
      </c>
      <c r="M1059" s="270"/>
      <c r="N1059" s="270"/>
      <c r="O1059" s="270"/>
    </row>
    <row r="1060" spans="1:15" hidden="1">
      <c r="A1060" s="294">
        <v>45814</v>
      </c>
      <c r="B1060" s="295" t="s">
        <v>2154</v>
      </c>
      <c r="C1060" s="270" t="s">
        <v>127</v>
      </c>
      <c r="D1060" s="271" t="s">
        <v>502</v>
      </c>
      <c r="E1060" s="272">
        <v>550000</v>
      </c>
      <c r="F1060" s="272">
        <v>980.49268794903878</v>
      </c>
      <c r="G1060" s="273">
        <v>560.94248000000005</v>
      </c>
      <c r="H1060" s="274" t="s">
        <v>148</v>
      </c>
      <c r="I1060" s="274" t="s">
        <v>134</v>
      </c>
      <c r="J1060" s="274" t="s">
        <v>98</v>
      </c>
      <c r="K1060" s="287" t="s">
        <v>2150</v>
      </c>
      <c r="L1060" s="296" t="s">
        <v>155</v>
      </c>
      <c r="M1060" s="270"/>
      <c r="N1060" s="270"/>
      <c r="O1060" s="270"/>
    </row>
    <row r="1061" spans="1:15" hidden="1">
      <c r="A1061" s="294">
        <v>45814</v>
      </c>
      <c r="B1061" s="295" t="s">
        <v>2155</v>
      </c>
      <c r="C1061" s="270" t="s">
        <v>127</v>
      </c>
      <c r="D1061" s="271" t="s">
        <v>502</v>
      </c>
      <c r="E1061" s="272">
        <v>355000</v>
      </c>
      <c r="F1061" s="272">
        <v>632.8634622216523</v>
      </c>
      <c r="G1061" s="273">
        <v>560.94248000000005</v>
      </c>
      <c r="H1061" s="274" t="s">
        <v>148</v>
      </c>
      <c r="I1061" s="274" t="s">
        <v>135</v>
      </c>
      <c r="J1061" s="274" t="s">
        <v>98</v>
      </c>
      <c r="K1061" s="287" t="s">
        <v>2150</v>
      </c>
      <c r="L1061" s="296" t="s">
        <v>155</v>
      </c>
      <c r="M1061" s="270"/>
      <c r="N1061" s="270"/>
      <c r="O1061" s="270"/>
    </row>
    <row r="1062" spans="1:15" hidden="1">
      <c r="A1062" s="294">
        <v>45815</v>
      </c>
      <c r="B1062" s="270" t="s">
        <v>2328</v>
      </c>
      <c r="C1062" s="276" t="s">
        <v>179</v>
      </c>
      <c r="D1062" s="270" t="s">
        <v>120</v>
      </c>
      <c r="E1062" s="272">
        <v>15000</v>
      </c>
      <c r="F1062" s="272">
        <v>26.740709671337424</v>
      </c>
      <c r="G1062" s="282">
        <v>579.64599999999996</v>
      </c>
      <c r="H1062" s="274" t="s">
        <v>217</v>
      </c>
      <c r="I1062" s="274" t="s">
        <v>283</v>
      </c>
      <c r="J1062" s="274" t="s">
        <v>98</v>
      </c>
      <c r="K1062" s="290" t="s">
        <v>205</v>
      </c>
      <c r="L1062" s="270" t="s">
        <v>155</v>
      </c>
      <c r="M1062" s="270"/>
      <c r="N1062" s="270"/>
      <c r="O1062" s="270"/>
    </row>
    <row r="1063" spans="1:15" hidden="1">
      <c r="A1063" s="294">
        <v>45815</v>
      </c>
      <c r="B1063" s="270" t="s">
        <v>2294</v>
      </c>
      <c r="C1063" s="276" t="s">
        <v>179</v>
      </c>
      <c r="D1063" s="270" t="s">
        <v>117</v>
      </c>
      <c r="E1063" s="272">
        <v>15000</v>
      </c>
      <c r="F1063" s="272">
        <v>26.740709671337424</v>
      </c>
      <c r="G1063" s="282">
        <v>579.64599999999996</v>
      </c>
      <c r="H1063" s="274" t="s">
        <v>190</v>
      </c>
      <c r="I1063" s="274" t="s">
        <v>2295</v>
      </c>
      <c r="J1063" s="274" t="s">
        <v>98</v>
      </c>
      <c r="K1063" s="290" t="s">
        <v>205</v>
      </c>
      <c r="L1063" s="270" t="s">
        <v>155</v>
      </c>
      <c r="M1063" s="270"/>
      <c r="N1063" s="270"/>
      <c r="O1063" s="270"/>
    </row>
    <row r="1064" spans="1:15" hidden="1">
      <c r="A1064" s="294">
        <v>45816</v>
      </c>
      <c r="B1064" s="270" t="s">
        <v>2329</v>
      </c>
      <c r="C1064" s="276" t="s">
        <v>179</v>
      </c>
      <c r="D1064" s="270" t="s">
        <v>120</v>
      </c>
      <c r="E1064" s="272">
        <v>15000</v>
      </c>
      <c r="F1064" s="272">
        <v>26.740709671337424</v>
      </c>
      <c r="G1064" s="282">
        <v>579.64599999999996</v>
      </c>
      <c r="H1064" s="274" t="s">
        <v>217</v>
      </c>
      <c r="I1064" s="274" t="s">
        <v>308</v>
      </c>
      <c r="J1064" s="274" t="s">
        <v>98</v>
      </c>
      <c r="K1064" s="290" t="s">
        <v>205</v>
      </c>
      <c r="L1064" s="270" t="s">
        <v>155</v>
      </c>
      <c r="M1064" s="270"/>
      <c r="N1064" s="270"/>
      <c r="O1064" s="270"/>
    </row>
    <row r="1065" spans="1:15" hidden="1">
      <c r="A1065" s="294">
        <v>45816</v>
      </c>
      <c r="B1065" s="270" t="s">
        <v>2296</v>
      </c>
      <c r="C1065" s="276" t="s">
        <v>179</v>
      </c>
      <c r="D1065" s="270" t="s">
        <v>117</v>
      </c>
      <c r="E1065" s="272">
        <v>15000</v>
      </c>
      <c r="F1065" s="272">
        <v>26.740709671337424</v>
      </c>
      <c r="G1065" s="282">
        <v>579.64599999999996</v>
      </c>
      <c r="H1065" s="274" t="s">
        <v>190</v>
      </c>
      <c r="I1065" s="274" t="s">
        <v>381</v>
      </c>
      <c r="J1065" s="274" t="s">
        <v>98</v>
      </c>
      <c r="K1065" s="290" t="s">
        <v>205</v>
      </c>
      <c r="L1065" s="270" t="s">
        <v>155</v>
      </c>
      <c r="M1065" s="270"/>
      <c r="N1065" s="270"/>
      <c r="O1065" s="270"/>
    </row>
    <row r="1066" spans="1:15" hidden="1">
      <c r="A1066" s="294">
        <v>45817</v>
      </c>
      <c r="B1066" s="270" t="s">
        <v>2262</v>
      </c>
      <c r="C1066" s="270" t="s">
        <v>175</v>
      </c>
      <c r="D1066" s="270" t="s">
        <v>117</v>
      </c>
      <c r="E1066" s="272">
        <v>7000</v>
      </c>
      <c r="F1066" s="272">
        <v>12.47899784662413</v>
      </c>
      <c r="G1066" s="282">
        <v>579.64599999999996</v>
      </c>
      <c r="H1066" s="274" t="s">
        <v>196</v>
      </c>
      <c r="I1066" s="274" t="s">
        <v>2268</v>
      </c>
      <c r="J1066" s="274" t="s">
        <v>98</v>
      </c>
      <c r="K1066" s="290" t="s">
        <v>205</v>
      </c>
      <c r="L1066" s="270" t="s">
        <v>155</v>
      </c>
      <c r="M1066" s="270"/>
      <c r="N1066" s="270"/>
      <c r="O1066" s="270"/>
    </row>
    <row r="1067" spans="1:15" hidden="1">
      <c r="A1067" s="294">
        <v>45817</v>
      </c>
      <c r="B1067" s="270" t="s">
        <v>2269</v>
      </c>
      <c r="C1067" s="270" t="s">
        <v>175</v>
      </c>
      <c r="D1067" s="270" t="s">
        <v>117</v>
      </c>
      <c r="E1067" s="272">
        <v>22000</v>
      </c>
      <c r="F1067" s="272">
        <v>39.219707517961552</v>
      </c>
      <c r="G1067" s="282">
        <v>579.64599999999996</v>
      </c>
      <c r="H1067" s="274" t="s">
        <v>196</v>
      </c>
      <c r="I1067" s="274" t="s">
        <v>221</v>
      </c>
      <c r="J1067" s="274" t="s">
        <v>98</v>
      </c>
      <c r="K1067" s="290" t="s">
        <v>205</v>
      </c>
      <c r="L1067" s="270" t="s">
        <v>155</v>
      </c>
      <c r="M1067" s="270"/>
      <c r="N1067" s="270"/>
      <c r="O1067" s="270"/>
    </row>
    <row r="1068" spans="1:15" hidden="1">
      <c r="A1068" s="294">
        <v>45817</v>
      </c>
      <c r="B1068" s="270" t="s">
        <v>2270</v>
      </c>
      <c r="C1068" s="276" t="s">
        <v>179</v>
      </c>
      <c r="D1068" s="270" t="s">
        <v>117</v>
      </c>
      <c r="E1068" s="272">
        <v>75000</v>
      </c>
      <c r="F1068" s="272">
        <v>133.70354835668712</v>
      </c>
      <c r="G1068" s="282">
        <v>579.64599999999996</v>
      </c>
      <c r="H1068" s="274" t="s">
        <v>196</v>
      </c>
      <c r="I1068" s="274" t="s">
        <v>223</v>
      </c>
      <c r="J1068" s="274" t="s">
        <v>98</v>
      </c>
      <c r="K1068" s="290" t="s">
        <v>205</v>
      </c>
      <c r="L1068" s="270" t="s">
        <v>155</v>
      </c>
      <c r="M1068" s="270"/>
      <c r="N1068" s="270"/>
      <c r="O1068" s="270"/>
    </row>
    <row r="1069" spans="1:15" hidden="1">
      <c r="A1069" s="294">
        <v>45818</v>
      </c>
      <c r="B1069" s="270" t="s">
        <v>2168</v>
      </c>
      <c r="C1069" s="270" t="s">
        <v>127</v>
      </c>
      <c r="D1069" s="270" t="s">
        <v>117</v>
      </c>
      <c r="E1069" s="272">
        <v>30000</v>
      </c>
      <c r="F1069" s="272">
        <v>53.481419342674847</v>
      </c>
      <c r="G1069" s="273">
        <v>560.94248000000005</v>
      </c>
      <c r="H1069" s="274" t="s">
        <v>193</v>
      </c>
      <c r="I1069" s="274" t="s">
        <v>409</v>
      </c>
      <c r="J1069" s="274" t="s">
        <v>98</v>
      </c>
      <c r="K1069" s="287" t="s">
        <v>2150</v>
      </c>
      <c r="L1069" s="296" t="s">
        <v>155</v>
      </c>
      <c r="M1069" s="270"/>
      <c r="N1069" s="270"/>
      <c r="O1069" s="270"/>
    </row>
    <row r="1070" spans="1:15" hidden="1">
      <c r="A1070" s="294">
        <v>45818</v>
      </c>
      <c r="B1070" s="270" t="s">
        <v>2242</v>
      </c>
      <c r="C1070" s="270" t="s">
        <v>175</v>
      </c>
      <c r="D1070" s="270" t="s">
        <v>117</v>
      </c>
      <c r="E1070" s="272">
        <v>8000</v>
      </c>
      <c r="F1070" s="272">
        <v>14.261711824713291</v>
      </c>
      <c r="G1070" s="282">
        <v>579.64599999999996</v>
      </c>
      <c r="H1070" s="274" t="s">
        <v>193</v>
      </c>
      <c r="I1070" s="274" t="s">
        <v>194</v>
      </c>
      <c r="J1070" s="274" t="s">
        <v>98</v>
      </c>
      <c r="K1070" s="290" t="s">
        <v>205</v>
      </c>
      <c r="L1070" s="270" t="s">
        <v>155</v>
      </c>
      <c r="M1070" s="270"/>
      <c r="N1070" s="270"/>
      <c r="O1070" s="270"/>
    </row>
    <row r="1071" spans="1:15" hidden="1">
      <c r="A1071" s="294">
        <v>45819</v>
      </c>
      <c r="B1071" s="270" t="s">
        <v>2243</v>
      </c>
      <c r="C1071" s="276" t="s">
        <v>179</v>
      </c>
      <c r="D1071" s="270" t="s">
        <v>117</v>
      </c>
      <c r="E1071" s="272">
        <v>30000</v>
      </c>
      <c r="F1071" s="272">
        <v>53.481419342674847</v>
      </c>
      <c r="G1071" s="282">
        <v>579.64599999999996</v>
      </c>
      <c r="H1071" s="274" t="s">
        <v>193</v>
      </c>
      <c r="I1071" s="274" t="s">
        <v>211</v>
      </c>
      <c r="J1071" s="274" t="s">
        <v>98</v>
      </c>
      <c r="K1071" s="290" t="s">
        <v>205</v>
      </c>
      <c r="L1071" s="270" t="s">
        <v>155</v>
      </c>
      <c r="M1071" s="270"/>
      <c r="N1071" s="270"/>
      <c r="O1071" s="270"/>
    </row>
    <row r="1072" spans="1:15" hidden="1">
      <c r="A1072" s="294">
        <v>45819</v>
      </c>
      <c r="B1072" s="270" t="s">
        <v>2244</v>
      </c>
      <c r="C1072" s="270" t="s">
        <v>175</v>
      </c>
      <c r="D1072" s="270" t="s">
        <v>117</v>
      </c>
      <c r="E1072" s="272">
        <v>4000</v>
      </c>
      <c r="F1072" s="272">
        <v>7.1308559123566457</v>
      </c>
      <c r="G1072" s="282">
        <v>579.64599999999996</v>
      </c>
      <c r="H1072" s="274" t="s">
        <v>193</v>
      </c>
      <c r="I1072" s="274" t="s">
        <v>257</v>
      </c>
      <c r="J1072" s="274" t="s">
        <v>98</v>
      </c>
      <c r="K1072" s="290" t="s">
        <v>205</v>
      </c>
      <c r="L1072" s="270" t="s">
        <v>155</v>
      </c>
      <c r="M1072" s="270"/>
      <c r="N1072" s="270"/>
      <c r="O1072" s="270"/>
    </row>
    <row r="1073" spans="1:15" hidden="1">
      <c r="A1073" s="294">
        <v>45819</v>
      </c>
      <c r="B1073" s="270" t="s">
        <v>2271</v>
      </c>
      <c r="C1073" s="276" t="s">
        <v>179</v>
      </c>
      <c r="D1073" s="270" t="s">
        <v>117</v>
      </c>
      <c r="E1073" s="272">
        <v>30000</v>
      </c>
      <c r="F1073" s="272">
        <v>53.481419342674847</v>
      </c>
      <c r="G1073" s="282">
        <v>579.64599999999996</v>
      </c>
      <c r="H1073" s="274" t="s">
        <v>196</v>
      </c>
      <c r="I1073" s="274" t="s">
        <v>303</v>
      </c>
      <c r="J1073" s="274" t="s">
        <v>98</v>
      </c>
      <c r="K1073" s="290" t="s">
        <v>205</v>
      </c>
      <c r="L1073" s="270" t="s">
        <v>155</v>
      </c>
      <c r="M1073" s="270"/>
      <c r="N1073" s="270"/>
      <c r="O1073" s="270"/>
    </row>
    <row r="1074" spans="1:15" hidden="1">
      <c r="A1074" s="294">
        <v>45819</v>
      </c>
      <c r="B1074" s="270" t="s">
        <v>2170</v>
      </c>
      <c r="C1074" s="270" t="s">
        <v>127</v>
      </c>
      <c r="D1074" s="270" t="s">
        <v>120</v>
      </c>
      <c r="E1074" s="272">
        <v>20000</v>
      </c>
      <c r="F1074" s="272">
        <v>35.654279561783227</v>
      </c>
      <c r="G1074" s="273">
        <v>560.94248000000005</v>
      </c>
      <c r="H1074" s="274" t="s">
        <v>217</v>
      </c>
      <c r="I1074" s="274" t="s">
        <v>411</v>
      </c>
      <c r="J1074" s="274" t="s">
        <v>98</v>
      </c>
      <c r="K1074" s="287" t="s">
        <v>2150</v>
      </c>
      <c r="L1074" s="296" t="s">
        <v>155</v>
      </c>
      <c r="M1074" s="270"/>
      <c r="N1074" s="270"/>
      <c r="O1074" s="270"/>
    </row>
    <row r="1075" spans="1:15" hidden="1">
      <c r="A1075" s="294">
        <v>45819</v>
      </c>
      <c r="B1075" s="270" t="s">
        <v>2171</v>
      </c>
      <c r="C1075" s="270" t="s">
        <v>272</v>
      </c>
      <c r="D1075" s="270" t="s">
        <v>2343</v>
      </c>
      <c r="E1075" s="272">
        <v>40000</v>
      </c>
      <c r="F1075" s="272">
        <v>71.308559123566454</v>
      </c>
      <c r="G1075" s="282">
        <v>579.64599999999996</v>
      </c>
      <c r="H1075" s="274" t="s">
        <v>217</v>
      </c>
      <c r="I1075" s="274" t="s">
        <v>479</v>
      </c>
      <c r="J1075" s="274" t="s">
        <v>98</v>
      </c>
      <c r="K1075" s="290" t="s">
        <v>205</v>
      </c>
      <c r="L1075" s="270" t="s">
        <v>155</v>
      </c>
      <c r="M1075" s="270"/>
      <c r="N1075" s="270"/>
      <c r="O1075" s="270"/>
    </row>
    <row r="1076" spans="1:15" hidden="1">
      <c r="A1076" s="294">
        <v>45819</v>
      </c>
      <c r="B1076" s="270" t="s">
        <v>2297</v>
      </c>
      <c r="C1076" s="270" t="s">
        <v>175</v>
      </c>
      <c r="D1076" s="270" t="s">
        <v>117</v>
      </c>
      <c r="E1076" s="272">
        <v>22500</v>
      </c>
      <c r="F1076" s="272">
        <v>40.111064507006134</v>
      </c>
      <c r="G1076" s="282">
        <v>579.64599999999996</v>
      </c>
      <c r="H1076" s="274" t="s">
        <v>190</v>
      </c>
      <c r="I1076" s="274" t="s">
        <v>328</v>
      </c>
      <c r="J1076" s="274" t="s">
        <v>98</v>
      </c>
      <c r="K1076" s="290" t="s">
        <v>205</v>
      </c>
      <c r="L1076" s="270" t="s">
        <v>155</v>
      </c>
      <c r="M1076" s="270"/>
      <c r="N1076" s="270"/>
      <c r="O1076" s="270"/>
    </row>
    <row r="1077" spans="1:15" hidden="1">
      <c r="A1077" s="294">
        <v>45819</v>
      </c>
      <c r="B1077" s="270" t="s">
        <v>2169</v>
      </c>
      <c r="C1077" s="277" t="s">
        <v>2342</v>
      </c>
      <c r="D1077" s="270" t="s">
        <v>118</v>
      </c>
      <c r="E1077" s="272">
        <v>9600</v>
      </c>
      <c r="F1077" s="272">
        <v>17.114054189655949</v>
      </c>
      <c r="G1077" s="282">
        <v>579.64599999999996</v>
      </c>
      <c r="H1077" s="274" t="s">
        <v>190</v>
      </c>
      <c r="I1077" s="274" t="s">
        <v>230</v>
      </c>
      <c r="J1077" s="274" t="s">
        <v>98</v>
      </c>
      <c r="K1077" s="290" t="s">
        <v>205</v>
      </c>
      <c r="L1077" s="270" t="s">
        <v>155</v>
      </c>
      <c r="M1077" s="270"/>
      <c r="N1077" s="270"/>
      <c r="O1077" s="270"/>
    </row>
    <row r="1078" spans="1:15" hidden="1">
      <c r="A1078" s="294">
        <v>45819</v>
      </c>
      <c r="B1078" s="270" t="s">
        <v>2172</v>
      </c>
      <c r="C1078" s="270" t="s">
        <v>127</v>
      </c>
      <c r="D1078" s="270" t="s">
        <v>117</v>
      </c>
      <c r="E1078" s="272">
        <v>30000</v>
      </c>
      <c r="F1078" s="272">
        <v>53.481419342674847</v>
      </c>
      <c r="G1078" s="273">
        <v>560.94248000000005</v>
      </c>
      <c r="H1078" s="274" t="s">
        <v>190</v>
      </c>
      <c r="I1078" s="274" t="s">
        <v>2173</v>
      </c>
      <c r="J1078" s="274" t="s">
        <v>98</v>
      </c>
      <c r="K1078" s="287" t="s">
        <v>2150</v>
      </c>
      <c r="L1078" s="296" t="s">
        <v>155</v>
      </c>
      <c r="M1078" s="270"/>
      <c r="N1078" s="270"/>
      <c r="O1078" s="270"/>
    </row>
    <row r="1079" spans="1:15" hidden="1">
      <c r="A1079" s="294">
        <v>45819</v>
      </c>
      <c r="B1079" s="270" t="s">
        <v>2298</v>
      </c>
      <c r="C1079" s="270" t="s">
        <v>127</v>
      </c>
      <c r="D1079" s="270" t="s">
        <v>117</v>
      </c>
      <c r="E1079" s="272">
        <v>127070</v>
      </c>
      <c r="F1079" s="272">
        <v>226.52946519578975</v>
      </c>
      <c r="G1079" s="273">
        <v>560.94248000000005</v>
      </c>
      <c r="H1079" s="274" t="s">
        <v>190</v>
      </c>
      <c r="I1079" s="274" t="s">
        <v>2174</v>
      </c>
      <c r="J1079" s="274" t="s">
        <v>98</v>
      </c>
      <c r="K1079" s="287" t="s">
        <v>2150</v>
      </c>
      <c r="L1079" s="296" t="s">
        <v>155</v>
      </c>
      <c r="M1079" s="270"/>
      <c r="N1079" s="270"/>
      <c r="O1079" s="270"/>
    </row>
    <row r="1080" spans="1:15" hidden="1">
      <c r="A1080" s="294">
        <v>45820</v>
      </c>
      <c r="B1080" s="270" t="s">
        <v>2175</v>
      </c>
      <c r="C1080" s="276" t="s">
        <v>1726</v>
      </c>
      <c r="D1080" s="270" t="s">
        <v>118</v>
      </c>
      <c r="E1080" s="272">
        <v>18000</v>
      </c>
      <c r="F1080" s="272">
        <v>32.088851605604908</v>
      </c>
      <c r="G1080" s="282">
        <v>579.64599999999996</v>
      </c>
      <c r="H1080" s="274" t="s">
        <v>643</v>
      </c>
      <c r="I1080" s="274" t="s">
        <v>232</v>
      </c>
      <c r="J1080" s="274" t="s">
        <v>98</v>
      </c>
      <c r="K1080" s="290" t="s">
        <v>205</v>
      </c>
      <c r="L1080" s="270" t="s">
        <v>155</v>
      </c>
      <c r="M1080" s="270"/>
      <c r="N1080" s="270"/>
      <c r="O1080" s="270"/>
    </row>
    <row r="1081" spans="1:15" hidden="1">
      <c r="A1081" s="294">
        <v>45820</v>
      </c>
      <c r="B1081" s="270" t="s">
        <v>2176</v>
      </c>
      <c r="C1081" s="270" t="s">
        <v>127</v>
      </c>
      <c r="D1081" s="270" t="s">
        <v>119</v>
      </c>
      <c r="E1081" s="272">
        <v>30000</v>
      </c>
      <c r="F1081" s="272">
        <v>53.481419342674847</v>
      </c>
      <c r="G1081" s="273">
        <v>560.94248000000005</v>
      </c>
      <c r="H1081" s="274" t="s">
        <v>643</v>
      </c>
      <c r="I1081" s="274" t="s">
        <v>2177</v>
      </c>
      <c r="J1081" s="274" t="s">
        <v>98</v>
      </c>
      <c r="K1081" s="287" t="s">
        <v>2150</v>
      </c>
      <c r="L1081" s="296" t="s">
        <v>155</v>
      </c>
      <c r="M1081" s="270"/>
      <c r="N1081" s="270"/>
      <c r="O1081" s="270"/>
    </row>
    <row r="1082" spans="1:15" hidden="1">
      <c r="A1082" s="294">
        <v>45820</v>
      </c>
      <c r="B1082" s="295" t="s">
        <v>2156</v>
      </c>
      <c r="C1082" s="270" t="s">
        <v>127</v>
      </c>
      <c r="D1082" s="270" t="s">
        <v>117</v>
      </c>
      <c r="E1082" s="272">
        <v>220293</v>
      </c>
      <c r="F1082" s="272">
        <v>392.71941037519565</v>
      </c>
      <c r="G1082" s="273">
        <v>560.94248000000005</v>
      </c>
      <c r="H1082" s="274" t="s">
        <v>148</v>
      </c>
      <c r="I1082" s="274" t="s">
        <v>136</v>
      </c>
      <c r="J1082" s="274" t="s">
        <v>98</v>
      </c>
      <c r="K1082" s="287" t="s">
        <v>2150</v>
      </c>
      <c r="L1082" s="296" t="s">
        <v>155</v>
      </c>
      <c r="M1082" s="270"/>
      <c r="N1082" s="270"/>
      <c r="O1082" s="270"/>
    </row>
    <row r="1083" spans="1:15" hidden="1">
      <c r="A1083" s="294">
        <v>45821</v>
      </c>
      <c r="B1083" s="270" t="s">
        <v>2300</v>
      </c>
      <c r="C1083" s="270" t="s">
        <v>199</v>
      </c>
      <c r="D1083" s="270" t="s">
        <v>117</v>
      </c>
      <c r="E1083" s="272">
        <v>33000</v>
      </c>
      <c r="F1083" s="272">
        <v>58.829561276942329</v>
      </c>
      <c r="G1083" s="282">
        <v>579.64599999999996</v>
      </c>
      <c r="H1083" s="274" t="s">
        <v>497</v>
      </c>
      <c r="I1083" s="274" t="s">
        <v>266</v>
      </c>
      <c r="J1083" s="274" t="s">
        <v>98</v>
      </c>
      <c r="K1083" s="290" t="s">
        <v>205</v>
      </c>
      <c r="L1083" s="270" t="s">
        <v>155</v>
      </c>
      <c r="M1083" s="270"/>
      <c r="N1083" s="270"/>
      <c r="O1083" s="270"/>
    </row>
    <row r="1084" spans="1:15" hidden="1">
      <c r="A1084" s="294">
        <v>45821</v>
      </c>
      <c r="B1084" s="270" t="s">
        <v>2203</v>
      </c>
      <c r="C1084" s="270" t="s">
        <v>175</v>
      </c>
      <c r="D1084" s="270" t="s">
        <v>117</v>
      </c>
      <c r="E1084" s="272">
        <v>33000</v>
      </c>
      <c r="F1084" s="272">
        <v>58.829561276942329</v>
      </c>
      <c r="G1084" s="282">
        <v>579.64599999999996</v>
      </c>
      <c r="H1084" s="274" t="s">
        <v>1691</v>
      </c>
      <c r="I1084" s="274" t="s">
        <v>204</v>
      </c>
      <c r="J1084" s="274" t="s">
        <v>98</v>
      </c>
      <c r="K1084" s="290" t="s">
        <v>205</v>
      </c>
      <c r="L1084" s="270" t="s">
        <v>155</v>
      </c>
      <c r="M1084" s="270"/>
      <c r="N1084" s="270"/>
      <c r="O1084" s="270"/>
    </row>
    <row r="1085" spans="1:15" hidden="1">
      <c r="A1085" s="294">
        <v>45821</v>
      </c>
      <c r="B1085" s="270" t="s">
        <v>2204</v>
      </c>
      <c r="C1085" s="276" t="s">
        <v>179</v>
      </c>
      <c r="D1085" s="270" t="s">
        <v>117</v>
      </c>
      <c r="E1085" s="272">
        <v>255000</v>
      </c>
      <c r="F1085" s="272">
        <v>454.59206441273619</v>
      </c>
      <c r="G1085" s="282">
        <v>579.64599999999996</v>
      </c>
      <c r="H1085" s="274" t="s">
        <v>1691</v>
      </c>
      <c r="I1085" s="274" t="s">
        <v>227</v>
      </c>
      <c r="J1085" s="274" t="s">
        <v>98</v>
      </c>
      <c r="K1085" s="290" t="s">
        <v>205</v>
      </c>
      <c r="L1085" s="270" t="s">
        <v>155</v>
      </c>
      <c r="M1085" s="270"/>
      <c r="N1085" s="270"/>
      <c r="O1085" s="270"/>
    </row>
    <row r="1086" spans="1:15" hidden="1">
      <c r="A1086" s="294">
        <v>45821</v>
      </c>
      <c r="B1086" s="270" t="s">
        <v>2178</v>
      </c>
      <c r="C1086" s="277" t="s">
        <v>2342</v>
      </c>
      <c r="D1086" s="270" t="s">
        <v>118</v>
      </c>
      <c r="E1086" s="272">
        <v>1600</v>
      </c>
      <c r="F1086" s="272">
        <v>2.8523423649426585</v>
      </c>
      <c r="G1086" s="282">
        <v>579.64599999999996</v>
      </c>
      <c r="H1086" s="274" t="s">
        <v>643</v>
      </c>
      <c r="I1086" s="274" t="s">
        <v>264</v>
      </c>
      <c r="J1086" s="274" t="s">
        <v>98</v>
      </c>
      <c r="K1086" s="290" t="s">
        <v>205</v>
      </c>
      <c r="L1086" s="270" t="s">
        <v>155</v>
      </c>
      <c r="M1086" s="270"/>
      <c r="N1086" s="270"/>
      <c r="O1086" s="270"/>
    </row>
    <row r="1087" spans="1:15" hidden="1">
      <c r="A1087" s="294">
        <v>45821</v>
      </c>
      <c r="B1087" s="270" t="s">
        <v>2301</v>
      </c>
      <c r="C1087" s="276" t="s">
        <v>179</v>
      </c>
      <c r="D1087" s="270" t="s">
        <v>117</v>
      </c>
      <c r="E1087" s="272">
        <v>420000</v>
      </c>
      <c r="F1087" s="272">
        <v>748.73987079744779</v>
      </c>
      <c r="G1087" s="282">
        <v>579.64599999999996</v>
      </c>
      <c r="H1087" s="274" t="s">
        <v>497</v>
      </c>
      <c r="I1087" s="274" t="s">
        <v>268</v>
      </c>
      <c r="J1087" s="274" t="s">
        <v>98</v>
      </c>
      <c r="K1087" s="290" t="s">
        <v>205</v>
      </c>
      <c r="L1087" s="270" t="s">
        <v>155</v>
      </c>
      <c r="M1087" s="270"/>
      <c r="N1087" s="270"/>
      <c r="O1087" s="270"/>
    </row>
    <row r="1088" spans="1:15" hidden="1">
      <c r="A1088" s="294">
        <v>45822</v>
      </c>
      <c r="B1088" s="270" t="s">
        <v>2264</v>
      </c>
      <c r="C1088" s="270" t="s">
        <v>175</v>
      </c>
      <c r="D1088" s="270" t="s">
        <v>117</v>
      </c>
      <c r="E1088" s="272">
        <v>7000</v>
      </c>
      <c r="F1088" s="272">
        <v>12.47899784662413</v>
      </c>
      <c r="G1088" s="282">
        <v>579.64599999999996</v>
      </c>
      <c r="H1088" s="274" t="s">
        <v>196</v>
      </c>
      <c r="I1088" s="274" t="s">
        <v>2272</v>
      </c>
      <c r="J1088" s="274" t="s">
        <v>98</v>
      </c>
      <c r="K1088" s="290" t="s">
        <v>205</v>
      </c>
      <c r="L1088" s="270" t="s">
        <v>155</v>
      </c>
      <c r="M1088" s="270"/>
      <c r="N1088" s="270"/>
      <c r="O1088" s="270"/>
    </row>
    <row r="1089" spans="1:15" hidden="1">
      <c r="A1089" s="294">
        <v>45822</v>
      </c>
      <c r="B1089" s="270" t="s">
        <v>2205</v>
      </c>
      <c r="C1089" s="276" t="s">
        <v>179</v>
      </c>
      <c r="D1089" s="270" t="s">
        <v>117</v>
      </c>
      <c r="E1089" s="272">
        <v>15000</v>
      </c>
      <c r="F1089" s="272">
        <v>26.740709671337424</v>
      </c>
      <c r="G1089" s="282">
        <v>579.64599999999996</v>
      </c>
      <c r="H1089" s="274" t="s">
        <v>1691</v>
      </c>
      <c r="I1089" s="274" t="s">
        <v>234</v>
      </c>
      <c r="J1089" s="274" t="s">
        <v>98</v>
      </c>
      <c r="K1089" s="290" t="s">
        <v>205</v>
      </c>
      <c r="L1089" s="270" t="s">
        <v>155</v>
      </c>
      <c r="M1089" s="270"/>
      <c r="N1089" s="270"/>
      <c r="O1089" s="270"/>
    </row>
    <row r="1090" spans="1:15" hidden="1">
      <c r="A1090" s="294">
        <v>45822</v>
      </c>
      <c r="B1090" s="270" t="s">
        <v>2245</v>
      </c>
      <c r="C1090" s="276" t="s">
        <v>179</v>
      </c>
      <c r="D1090" s="270" t="s">
        <v>117</v>
      </c>
      <c r="E1090" s="272">
        <v>45000</v>
      </c>
      <c r="F1090" s="272">
        <v>80.222129014012268</v>
      </c>
      <c r="G1090" s="282">
        <v>579.64599999999996</v>
      </c>
      <c r="H1090" s="274" t="s">
        <v>193</v>
      </c>
      <c r="I1090" s="274" t="s">
        <v>259</v>
      </c>
      <c r="J1090" s="274" t="s">
        <v>98</v>
      </c>
      <c r="K1090" s="290" t="s">
        <v>205</v>
      </c>
      <c r="L1090" s="270" t="s">
        <v>155</v>
      </c>
      <c r="M1090" s="270"/>
      <c r="N1090" s="270"/>
      <c r="O1090" s="270"/>
    </row>
    <row r="1091" spans="1:15" hidden="1">
      <c r="A1091" s="294">
        <v>45822</v>
      </c>
      <c r="B1091" s="270" t="s">
        <v>2246</v>
      </c>
      <c r="C1091" s="270" t="s">
        <v>175</v>
      </c>
      <c r="D1091" s="270" t="s">
        <v>117</v>
      </c>
      <c r="E1091" s="272">
        <v>5000</v>
      </c>
      <c r="F1091" s="272">
        <v>8.9135698904458067</v>
      </c>
      <c r="G1091" s="282">
        <v>579.64599999999996</v>
      </c>
      <c r="H1091" s="274" t="s">
        <v>193</v>
      </c>
      <c r="I1091" s="274" t="s">
        <v>279</v>
      </c>
      <c r="J1091" s="274" t="s">
        <v>98</v>
      </c>
      <c r="K1091" s="290" t="s">
        <v>205</v>
      </c>
      <c r="L1091" s="270" t="s">
        <v>155</v>
      </c>
      <c r="M1091" s="270"/>
      <c r="N1091" s="270"/>
      <c r="O1091" s="270"/>
    </row>
    <row r="1092" spans="1:15" hidden="1">
      <c r="A1092" s="294">
        <v>45822</v>
      </c>
      <c r="B1092" s="270" t="s">
        <v>2247</v>
      </c>
      <c r="C1092" s="270" t="s">
        <v>175</v>
      </c>
      <c r="D1092" s="270" t="s">
        <v>117</v>
      </c>
      <c r="E1092" s="272">
        <v>7000</v>
      </c>
      <c r="F1092" s="272">
        <v>12.47899784662413</v>
      </c>
      <c r="G1092" s="282">
        <v>579.64599999999996</v>
      </c>
      <c r="H1092" s="274" t="s">
        <v>193</v>
      </c>
      <c r="I1092" s="274" t="s">
        <v>301</v>
      </c>
      <c r="J1092" s="274" t="s">
        <v>98</v>
      </c>
      <c r="K1092" s="290" t="s">
        <v>205</v>
      </c>
      <c r="L1092" s="270" t="s">
        <v>155</v>
      </c>
      <c r="M1092" s="270"/>
      <c r="N1092" s="270"/>
      <c r="O1092" s="270"/>
    </row>
    <row r="1093" spans="1:15" hidden="1">
      <c r="A1093" s="294">
        <v>45822</v>
      </c>
      <c r="B1093" s="270" t="s">
        <v>2273</v>
      </c>
      <c r="C1093" s="276" t="s">
        <v>179</v>
      </c>
      <c r="D1093" s="270" t="s">
        <v>117</v>
      </c>
      <c r="E1093" s="272">
        <v>45000</v>
      </c>
      <c r="F1093" s="272">
        <v>80.222129014012268</v>
      </c>
      <c r="G1093" s="282">
        <v>579.64599999999996</v>
      </c>
      <c r="H1093" s="274" t="s">
        <v>196</v>
      </c>
      <c r="I1093" s="274" t="s">
        <v>2274</v>
      </c>
      <c r="J1093" s="274" t="s">
        <v>98</v>
      </c>
      <c r="K1093" s="290" t="s">
        <v>205</v>
      </c>
      <c r="L1093" s="270" t="s">
        <v>155</v>
      </c>
      <c r="M1093" s="270"/>
      <c r="N1093" s="270"/>
      <c r="O1093" s="270"/>
    </row>
    <row r="1094" spans="1:15" hidden="1">
      <c r="A1094" s="294">
        <v>45822</v>
      </c>
      <c r="B1094" s="270" t="s">
        <v>2302</v>
      </c>
      <c r="C1094" s="276" t="s">
        <v>179</v>
      </c>
      <c r="D1094" s="270" t="s">
        <v>117</v>
      </c>
      <c r="E1094" s="272">
        <v>15000</v>
      </c>
      <c r="F1094" s="272">
        <v>26.740709671337424</v>
      </c>
      <c r="G1094" s="282">
        <v>579.64599999999996</v>
      </c>
      <c r="H1094" s="274" t="s">
        <v>497</v>
      </c>
      <c r="I1094" s="274" t="s">
        <v>306</v>
      </c>
      <c r="J1094" s="274" t="s">
        <v>98</v>
      </c>
      <c r="K1094" s="290" t="s">
        <v>205</v>
      </c>
      <c r="L1094" s="270" t="s">
        <v>155</v>
      </c>
      <c r="M1094" s="270"/>
      <c r="N1094" s="270"/>
      <c r="O1094" s="270"/>
    </row>
    <row r="1095" spans="1:15" hidden="1">
      <c r="A1095" s="294">
        <v>45823</v>
      </c>
      <c r="B1095" s="270" t="s">
        <v>2206</v>
      </c>
      <c r="C1095" s="276" t="s">
        <v>179</v>
      </c>
      <c r="D1095" s="270" t="s">
        <v>117</v>
      </c>
      <c r="E1095" s="272">
        <v>15000</v>
      </c>
      <c r="F1095" s="272">
        <v>26.740709671337424</v>
      </c>
      <c r="G1095" s="282">
        <v>579.64599999999996</v>
      </c>
      <c r="H1095" s="274" t="s">
        <v>1691</v>
      </c>
      <c r="I1095" s="274" t="s">
        <v>273</v>
      </c>
      <c r="J1095" s="274" t="s">
        <v>98</v>
      </c>
      <c r="K1095" s="290" t="s">
        <v>205</v>
      </c>
      <c r="L1095" s="270" t="s">
        <v>155</v>
      </c>
      <c r="M1095" s="270"/>
      <c r="N1095" s="270"/>
      <c r="O1095" s="270"/>
    </row>
    <row r="1096" spans="1:15" hidden="1">
      <c r="A1096" s="294">
        <v>45823</v>
      </c>
      <c r="B1096" s="270" t="s">
        <v>2303</v>
      </c>
      <c r="C1096" s="276" t="s">
        <v>179</v>
      </c>
      <c r="D1096" s="270" t="s">
        <v>117</v>
      </c>
      <c r="E1096" s="272">
        <v>15000</v>
      </c>
      <c r="F1096" s="272">
        <v>26.740709671337424</v>
      </c>
      <c r="G1096" s="282">
        <v>579.64599999999996</v>
      </c>
      <c r="H1096" s="274" t="s">
        <v>497</v>
      </c>
      <c r="I1096" s="274" t="s">
        <v>312</v>
      </c>
      <c r="J1096" s="274" t="s">
        <v>98</v>
      </c>
      <c r="K1096" s="290" t="s">
        <v>205</v>
      </c>
      <c r="L1096" s="270" t="s">
        <v>155</v>
      </c>
      <c r="M1096" s="270"/>
      <c r="N1096" s="270"/>
      <c r="O1096" s="270"/>
    </row>
    <row r="1097" spans="1:15" hidden="1">
      <c r="A1097" s="294">
        <v>45824</v>
      </c>
      <c r="B1097" s="270" t="s">
        <v>2200</v>
      </c>
      <c r="C1097" s="270" t="s">
        <v>152</v>
      </c>
      <c r="D1097" s="270" t="s">
        <v>119</v>
      </c>
      <c r="E1097" s="272">
        <v>10000</v>
      </c>
      <c r="F1097" s="272">
        <v>17.827139780891613</v>
      </c>
      <c r="G1097" s="282">
        <v>579.64599999999996</v>
      </c>
      <c r="H1097" s="274" t="s">
        <v>153</v>
      </c>
      <c r="I1097" s="274" t="s">
        <v>182</v>
      </c>
      <c r="J1097" s="274" t="s">
        <v>98</v>
      </c>
      <c r="K1097" s="290" t="s">
        <v>205</v>
      </c>
      <c r="L1097" s="270" t="s">
        <v>155</v>
      </c>
      <c r="M1097" s="270"/>
      <c r="N1097" s="270"/>
      <c r="O1097" s="270"/>
    </row>
    <row r="1098" spans="1:15" hidden="1">
      <c r="A1098" s="294">
        <v>45824</v>
      </c>
      <c r="B1098" s="270" t="s">
        <v>2179</v>
      </c>
      <c r="C1098" s="270" t="s">
        <v>127</v>
      </c>
      <c r="D1098" s="270" t="s">
        <v>117</v>
      </c>
      <c r="E1098" s="272">
        <v>30000</v>
      </c>
      <c r="F1098" s="272">
        <v>53.481419342674847</v>
      </c>
      <c r="G1098" s="273">
        <v>560.94248000000005</v>
      </c>
      <c r="H1098" s="274" t="s">
        <v>1691</v>
      </c>
      <c r="I1098" s="274" t="s">
        <v>2180</v>
      </c>
      <c r="J1098" s="274" t="s">
        <v>98</v>
      </c>
      <c r="K1098" s="287" t="s">
        <v>2150</v>
      </c>
      <c r="L1098" s="296" t="s">
        <v>155</v>
      </c>
      <c r="M1098" s="270"/>
      <c r="N1098" s="270"/>
      <c r="O1098" s="270"/>
    </row>
    <row r="1099" spans="1:15" hidden="1">
      <c r="A1099" s="294">
        <v>45824</v>
      </c>
      <c r="B1099" s="270" t="s">
        <v>2181</v>
      </c>
      <c r="C1099" s="270" t="s">
        <v>272</v>
      </c>
      <c r="D1099" s="270" t="s">
        <v>2343</v>
      </c>
      <c r="E1099" s="272">
        <v>50000</v>
      </c>
      <c r="F1099" s="272">
        <v>89.135698904458081</v>
      </c>
      <c r="G1099" s="282">
        <v>579.64599999999996</v>
      </c>
      <c r="H1099" s="274" t="s">
        <v>1691</v>
      </c>
      <c r="I1099" s="274" t="s">
        <v>2182</v>
      </c>
      <c r="J1099" s="274" t="s">
        <v>98</v>
      </c>
      <c r="K1099" s="290" t="s">
        <v>205</v>
      </c>
      <c r="L1099" s="270" t="s">
        <v>155</v>
      </c>
      <c r="M1099" s="270"/>
      <c r="N1099" s="270"/>
      <c r="O1099" s="270"/>
    </row>
    <row r="1100" spans="1:15" hidden="1">
      <c r="A1100" s="294">
        <v>45824</v>
      </c>
      <c r="B1100" s="270" t="s">
        <v>2207</v>
      </c>
      <c r="C1100" s="270" t="s">
        <v>152</v>
      </c>
      <c r="D1100" s="270" t="s">
        <v>117</v>
      </c>
      <c r="E1100" s="272">
        <v>5000</v>
      </c>
      <c r="F1100" s="272">
        <v>8.9135698904458067</v>
      </c>
      <c r="G1100" s="282">
        <v>579.64599999999996</v>
      </c>
      <c r="H1100" s="274" t="s">
        <v>1691</v>
      </c>
      <c r="I1100" s="274" t="s">
        <v>275</v>
      </c>
      <c r="J1100" s="274" t="s">
        <v>98</v>
      </c>
      <c r="K1100" s="290" t="s">
        <v>205</v>
      </c>
      <c r="L1100" s="270" t="s">
        <v>155</v>
      </c>
      <c r="M1100" s="270"/>
      <c r="N1100" s="270"/>
      <c r="O1100" s="270"/>
    </row>
    <row r="1101" spans="1:15" hidden="1">
      <c r="A1101" s="294">
        <v>45824</v>
      </c>
      <c r="B1101" s="270" t="s">
        <v>2208</v>
      </c>
      <c r="C1101" s="270" t="s">
        <v>152</v>
      </c>
      <c r="D1101" s="270" t="s">
        <v>117</v>
      </c>
      <c r="E1101" s="272">
        <v>5000</v>
      </c>
      <c r="F1101" s="272">
        <v>8.9135698904458067</v>
      </c>
      <c r="G1101" s="282">
        <v>579.64599999999996</v>
      </c>
      <c r="H1101" s="274" t="s">
        <v>1691</v>
      </c>
      <c r="I1101" s="274" t="s">
        <v>358</v>
      </c>
      <c r="J1101" s="274" t="s">
        <v>98</v>
      </c>
      <c r="K1101" s="290" t="s">
        <v>205</v>
      </c>
      <c r="L1101" s="270" t="s">
        <v>155</v>
      </c>
      <c r="M1101" s="270"/>
      <c r="N1101" s="270"/>
      <c r="O1101" s="270"/>
    </row>
    <row r="1102" spans="1:15" hidden="1">
      <c r="A1102" s="294">
        <v>45824</v>
      </c>
      <c r="B1102" s="270" t="s">
        <v>2210</v>
      </c>
      <c r="C1102" s="270" t="s">
        <v>152</v>
      </c>
      <c r="D1102" s="270" t="s">
        <v>119</v>
      </c>
      <c r="E1102" s="272">
        <v>10000</v>
      </c>
      <c r="F1102" s="272">
        <v>17.827139780891613</v>
      </c>
      <c r="G1102" s="282">
        <v>579.64599999999996</v>
      </c>
      <c r="H1102" s="274" t="s">
        <v>643</v>
      </c>
      <c r="I1102" s="274" t="s">
        <v>2211</v>
      </c>
      <c r="J1102" s="274" t="s">
        <v>98</v>
      </c>
      <c r="K1102" s="290" t="s">
        <v>205</v>
      </c>
      <c r="L1102" s="270" t="s">
        <v>155</v>
      </c>
      <c r="M1102" s="270"/>
      <c r="N1102" s="270"/>
      <c r="O1102" s="270"/>
    </row>
    <row r="1103" spans="1:15" hidden="1">
      <c r="A1103" s="294">
        <v>45824</v>
      </c>
      <c r="B1103" s="270" t="s">
        <v>2222</v>
      </c>
      <c r="C1103" s="270" t="s">
        <v>152</v>
      </c>
      <c r="D1103" s="271" t="s">
        <v>502</v>
      </c>
      <c r="E1103" s="272">
        <v>10000</v>
      </c>
      <c r="F1103" s="272">
        <v>17.827139780891613</v>
      </c>
      <c r="G1103" s="282">
        <v>579.64599999999996</v>
      </c>
      <c r="H1103" s="274" t="s">
        <v>187</v>
      </c>
      <c r="I1103" s="274" t="s">
        <v>2223</v>
      </c>
      <c r="J1103" s="274" t="s">
        <v>98</v>
      </c>
      <c r="K1103" s="290" t="s">
        <v>205</v>
      </c>
      <c r="L1103" s="270" t="s">
        <v>155</v>
      </c>
      <c r="M1103" s="270"/>
      <c r="N1103" s="270"/>
      <c r="O1103" s="270"/>
    </row>
    <row r="1104" spans="1:15" hidden="1">
      <c r="A1104" s="294">
        <v>45824</v>
      </c>
      <c r="B1104" s="270" t="s">
        <v>2224</v>
      </c>
      <c r="C1104" s="270" t="s">
        <v>152</v>
      </c>
      <c r="D1104" s="271" t="s">
        <v>502</v>
      </c>
      <c r="E1104" s="272">
        <v>5000</v>
      </c>
      <c r="F1104" s="272">
        <v>8.9135698904458067</v>
      </c>
      <c r="G1104" s="282">
        <v>579.64599999999996</v>
      </c>
      <c r="H1104" s="274" t="s">
        <v>187</v>
      </c>
      <c r="I1104" s="274" t="s">
        <v>2225</v>
      </c>
      <c r="J1104" s="274" t="s">
        <v>98</v>
      </c>
      <c r="K1104" s="290" t="s">
        <v>205</v>
      </c>
      <c r="L1104" s="270" t="s">
        <v>155</v>
      </c>
      <c r="M1104" s="270"/>
      <c r="N1104" s="270"/>
      <c r="O1104" s="270"/>
    </row>
    <row r="1105" spans="1:15" hidden="1">
      <c r="A1105" s="294">
        <v>45824</v>
      </c>
      <c r="B1105" s="270" t="s">
        <v>2233</v>
      </c>
      <c r="C1105" s="270" t="s">
        <v>152</v>
      </c>
      <c r="D1105" s="271" t="s">
        <v>502</v>
      </c>
      <c r="E1105" s="272">
        <v>15000</v>
      </c>
      <c r="F1105" s="272">
        <v>26.740709671337424</v>
      </c>
      <c r="G1105" s="282">
        <v>579.64599999999996</v>
      </c>
      <c r="H1105" s="274" t="s">
        <v>176</v>
      </c>
      <c r="I1105" s="274" t="s">
        <v>368</v>
      </c>
      <c r="J1105" s="274" t="s">
        <v>98</v>
      </c>
      <c r="K1105" s="290" t="s">
        <v>205</v>
      </c>
      <c r="L1105" s="270" t="s">
        <v>155</v>
      </c>
      <c r="M1105" s="270"/>
      <c r="N1105" s="270"/>
      <c r="O1105" s="270"/>
    </row>
    <row r="1106" spans="1:15" hidden="1">
      <c r="A1106" s="294">
        <v>45824</v>
      </c>
      <c r="B1106" s="270" t="s">
        <v>2237</v>
      </c>
      <c r="C1106" s="270" t="s">
        <v>152</v>
      </c>
      <c r="D1106" s="271" t="s">
        <v>502</v>
      </c>
      <c r="E1106" s="272">
        <v>15000</v>
      </c>
      <c r="F1106" s="272">
        <v>26.740709671337424</v>
      </c>
      <c r="G1106" s="282">
        <v>579.64599999999996</v>
      </c>
      <c r="H1106" s="274" t="s">
        <v>332</v>
      </c>
      <c r="I1106" s="274" t="s">
        <v>335</v>
      </c>
      <c r="J1106" s="274" t="s">
        <v>98</v>
      </c>
      <c r="K1106" s="290" t="s">
        <v>205</v>
      </c>
      <c r="L1106" s="270" t="s">
        <v>155</v>
      </c>
      <c r="M1106" s="270"/>
      <c r="N1106" s="270"/>
      <c r="O1106" s="270"/>
    </row>
    <row r="1107" spans="1:15" hidden="1">
      <c r="A1107" s="294">
        <v>45824</v>
      </c>
      <c r="B1107" s="270" t="s">
        <v>2239</v>
      </c>
      <c r="C1107" s="270" t="s">
        <v>152</v>
      </c>
      <c r="D1107" s="271" t="s">
        <v>502</v>
      </c>
      <c r="E1107" s="272">
        <v>5000</v>
      </c>
      <c r="F1107" s="272">
        <v>8.9135698904458067</v>
      </c>
      <c r="G1107" s="282">
        <v>579.64599999999996</v>
      </c>
      <c r="H1107" s="274" t="s">
        <v>343</v>
      </c>
      <c r="I1107" s="274" t="s">
        <v>344</v>
      </c>
      <c r="J1107" s="274" t="s">
        <v>98</v>
      </c>
      <c r="K1107" s="290" t="s">
        <v>205</v>
      </c>
      <c r="L1107" s="270" t="s">
        <v>155</v>
      </c>
      <c r="M1107" s="270"/>
      <c r="N1107" s="270"/>
      <c r="O1107" s="270"/>
    </row>
    <row r="1108" spans="1:15" hidden="1">
      <c r="A1108" s="294">
        <v>45824</v>
      </c>
      <c r="B1108" s="270" t="s">
        <v>2240</v>
      </c>
      <c r="C1108" s="270" t="s">
        <v>152</v>
      </c>
      <c r="D1108" s="271" t="s">
        <v>502</v>
      </c>
      <c r="E1108" s="272">
        <v>10000</v>
      </c>
      <c r="F1108" s="272">
        <v>17.827139780891613</v>
      </c>
      <c r="G1108" s="282">
        <v>579.64599999999996</v>
      </c>
      <c r="H1108" s="274" t="s">
        <v>343</v>
      </c>
      <c r="I1108" s="274" t="s">
        <v>372</v>
      </c>
      <c r="J1108" s="274" t="s">
        <v>98</v>
      </c>
      <c r="K1108" s="290" t="s">
        <v>205</v>
      </c>
      <c r="L1108" s="270" t="s">
        <v>155</v>
      </c>
      <c r="M1108" s="270"/>
      <c r="N1108" s="270"/>
      <c r="O1108" s="270"/>
    </row>
    <row r="1109" spans="1:15" hidden="1">
      <c r="A1109" s="294">
        <v>45824</v>
      </c>
      <c r="B1109" s="270" t="s">
        <v>2248</v>
      </c>
      <c r="C1109" s="270" t="s">
        <v>152</v>
      </c>
      <c r="D1109" s="270" t="s">
        <v>117</v>
      </c>
      <c r="E1109" s="272">
        <v>5000</v>
      </c>
      <c r="F1109" s="272">
        <v>8.9135698904458067</v>
      </c>
      <c r="G1109" s="282">
        <v>579.64599999999996</v>
      </c>
      <c r="H1109" s="274" t="s">
        <v>193</v>
      </c>
      <c r="I1109" s="274" t="s">
        <v>2249</v>
      </c>
      <c r="J1109" s="274" t="s">
        <v>98</v>
      </c>
      <c r="K1109" s="290" t="s">
        <v>205</v>
      </c>
      <c r="L1109" s="270" t="s">
        <v>155</v>
      </c>
      <c r="M1109" s="270"/>
      <c r="N1109" s="270"/>
      <c r="O1109" s="270"/>
    </row>
    <row r="1110" spans="1:15" hidden="1">
      <c r="A1110" s="294">
        <v>45824</v>
      </c>
      <c r="B1110" s="270" t="s">
        <v>2250</v>
      </c>
      <c r="C1110" s="270" t="s">
        <v>152</v>
      </c>
      <c r="D1110" s="270" t="s">
        <v>117</v>
      </c>
      <c r="E1110" s="272">
        <v>5000</v>
      </c>
      <c r="F1110" s="272">
        <v>8.9135698904458067</v>
      </c>
      <c r="G1110" s="282">
        <v>579.64599999999996</v>
      </c>
      <c r="H1110" s="274" t="s">
        <v>193</v>
      </c>
      <c r="I1110" s="274" t="s">
        <v>2251</v>
      </c>
      <c r="J1110" s="274" t="s">
        <v>98</v>
      </c>
      <c r="K1110" s="290" t="s">
        <v>205</v>
      </c>
      <c r="L1110" s="270" t="s">
        <v>155</v>
      </c>
      <c r="M1110" s="270"/>
      <c r="N1110" s="270"/>
      <c r="O1110" s="270"/>
    </row>
    <row r="1111" spans="1:15" hidden="1">
      <c r="A1111" s="294">
        <v>45824</v>
      </c>
      <c r="B1111" s="270" t="s">
        <v>2275</v>
      </c>
      <c r="C1111" s="270" t="s">
        <v>152</v>
      </c>
      <c r="D1111" s="270" t="s">
        <v>117</v>
      </c>
      <c r="E1111" s="272">
        <v>10000</v>
      </c>
      <c r="F1111" s="272">
        <v>17.827139780891613</v>
      </c>
      <c r="G1111" s="282">
        <v>579.64599999999996</v>
      </c>
      <c r="H1111" s="274" t="s">
        <v>196</v>
      </c>
      <c r="I1111" s="274" t="s">
        <v>2276</v>
      </c>
      <c r="J1111" s="274" t="s">
        <v>98</v>
      </c>
      <c r="K1111" s="290" t="s">
        <v>205</v>
      </c>
      <c r="L1111" s="270" t="s">
        <v>155</v>
      </c>
      <c r="M1111" s="270"/>
      <c r="N1111" s="270"/>
      <c r="O1111" s="270"/>
    </row>
    <row r="1112" spans="1:15" hidden="1">
      <c r="A1112" s="294">
        <v>45824</v>
      </c>
      <c r="B1112" s="270" t="s">
        <v>2187</v>
      </c>
      <c r="C1112" s="270" t="s">
        <v>127</v>
      </c>
      <c r="D1112" s="270" t="s">
        <v>117</v>
      </c>
      <c r="E1112" s="272">
        <v>30000</v>
      </c>
      <c r="F1112" s="272">
        <v>53.481419342674847</v>
      </c>
      <c r="G1112" s="273">
        <v>560.94248000000005</v>
      </c>
      <c r="H1112" s="274" t="s">
        <v>196</v>
      </c>
      <c r="I1112" s="274" t="s">
        <v>2188</v>
      </c>
      <c r="J1112" s="274" t="s">
        <v>98</v>
      </c>
      <c r="K1112" s="287" t="s">
        <v>2150</v>
      </c>
      <c r="L1112" s="296" t="s">
        <v>155</v>
      </c>
      <c r="M1112" s="270"/>
      <c r="N1112" s="270"/>
      <c r="O1112" s="270"/>
    </row>
    <row r="1113" spans="1:15" hidden="1">
      <c r="A1113" s="294">
        <v>45824</v>
      </c>
      <c r="B1113" s="270" t="s">
        <v>2304</v>
      </c>
      <c r="C1113" s="270" t="s">
        <v>152</v>
      </c>
      <c r="D1113" s="270" t="s">
        <v>117</v>
      </c>
      <c r="E1113" s="272">
        <v>10000</v>
      </c>
      <c r="F1113" s="272">
        <v>17.827139780891613</v>
      </c>
      <c r="G1113" s="282">
        <v>579.64599999999996</v>
      </c>
      <c r="H1113" s="274" t="s">
        <v>497</v>
      </c>
      <c r="I1113" s="274" t="s">
        <v>2305</v>
      </c>
      <c r="J1113" s="274" t="s">
        <v>98</v>
      </c>
      <c r="K1113" s="290" t="s">
        <v>205</v>
      </c>
      <c r="L1113" s="270" t="s">
        <v>155</v>
      </c>
      <c r="M1113" s="270"/>
      <c r="N1113" s="270"/>
      <c r="O1113" s="270"/>
    </row>
    <row r="1114" spans="1:15" hidden="1">
      <c r="A1114" s="294">
        <v>45824</v>
      </c>
      <c r="B1114" s="270" t="s">
        <v>2183</v>
      </c>
      <c r="C1114" s="270" t="s">
        <v>127</v>
      </c>
      <c r="D1114" s="270" t="s">
        <v>117</v>
      </c>
      <c r="E1114" s="272">
        <v>30000</v>
      </c>
      <c r="F1114" s="272">
        <v>53.481419342674847</v>
      </c>
      <c r="G1114" s="273">
        <v>560.94248000000005</v>
      </c>
      <c r="H1114" s="274" t="s">
        <v>497</v>
      </c>
      <c r="I1114" s="274" t="s">
        <v>2184</v>
      </c>
      <c r="J1114" s="274" t="s">
        <v>98</v>
      </c>
      <c r="K1114" s="287" t="s">
        <v>2150</v>
      </c>
      <c r="L1114" s="296" t="s">
        <v>155</v>
      </c>
      <c r="M1114" s="270"/>
      <c r="N1114" s="270"/>
      <c r="O1114" s="270"/>
    </row>
    <row r="1115" spans="1:15" hidden="1">
      <c r="A1115" s="294">
        <v>45824</v>
      </c>
      <c r="B1115" s="270" t="s">
        <v>2185</v>
      </c>
      <c r="C1115" s="270" t="s">
        <v>272</v>
      </c>
      <c r="D1115" s="270" t="s">
        <v>2343</v>
      </c>
      <c r="E1115" s="272">
        <v>40000</v>
      </c>
      <c r="F1115" s="272">
        <v>71.308559123566454</v>
      </c>
      <c r="G1115" s="282">
        <v>579.64599999999996</v>
      </c>
      <c r="H1115" s="274" t="s">
        <v>497</v>
      </c>
      <c r="I1115" s="274" t="s">
        <v>2186</v>
      </c>
      <c r="J1115" s="274" t="s">
        <v>98</v>
      </c>
      <c r="K1115" s="290" t="s">
        <v>205</v>
      </c>
      <c r="L1115" s="270" t="s">
        <v>155</v>
      </c>
      <c r="M1115" s="270"/>
      <c r="N1115" s="270"/>
      <c r="O1115" s="270"/>
    </row>
    <row r="1116" spans="1:15" hidden="1">
      <c r="A1116" s="294">
        <v>45824</v>
      </c>
      <c r="B1116" s="270" t="s">
        <v>2330</v>
      </c>
      <c r="C1116" s="270" t="s">
        <v>152</v>
      </c>
      <c r="D1116" s="270" t="s">
        <v>120</v>
      </c>
      <c r="E1116" s="272">
        <v>10000</v>
      </c>
      <c r="F1116" s="272">
        <v>17.827139780891613</v>
      </c>
      <c r="G1116" s="282">
        <v>579.64599999999996</v>
      </c>
      <c r="H1116" s="274" t="s">
        <v>217</v>
      </c>
      <c r="I1116" s="274" t="s">
        <v>2331</v>
      </c>
      <c r="J1116" s="274" t="s">
        <v>98</v>
      </c>
      <c r="K1116" s="290" t="s">
        <v>205</v>
      </c>
      <c r="L1116" s="270" t="s">
        <v>155</v>
      </c>
      <c r="M1116" s="270"/>
      <c r="N1116" s="270"/>
      <c r="O1116" s="270"/>
    </row>
    <row r="1117" spans="1:15" hidden="1">
      <c r="A1117" s="294">
        <v>45824</v>
      </c>
      <c r="B1117" s="295" t="s">
        <v>2157</v>
      </c>
      <c r="C1117" s="270" t="s">
        <v>123</v>
      </c>
      <c r="D1117" s="270" t="s">
        <v>117</v>
      </c>
      <c r="E1117" s="272">
        <v>200000</v>
      </c>
      <c r="F1117" s="272">
        <v>356.54279561783233</v>
      </c>
      <c r="G1117" s="282">
        <v>579.64599999999996</v>
      </c>
      <c r="H1117" s="274" t="s">
        <v>148</v>
      </c>
      <c r="I1117" s="274" t="s">
        <v>137</v>
      </c>
      <c r="J1117" s="274" t="s">
        <v>98</v>
      </c>
      <c r="K1117" s="290" t="s">
        <v>205</v>
      </c>
      <c r="L1117" s="270" t="s">
        <v>155</v>
      </c>
      <c r="M1117" s="270"/>
      <c r="N1117" s="270"/>
      <c r="O1117" s="270"/>
    </row>
    <row r="1118" spans="1:15" hidden="1">
      <c r="A1118" s="294">
        <v>45824</v>
      </c>
      <c r="B1118" s="295" t="s">
        <v>2158</v>
      </c>
      <c r="C1118" s="270" t="s">
        <v>123</v>
      </c>
      <c r="D1118" s="270" t="s">
        <v>117</v>
      </c>
      <c r="E1118" s="272">
        <v>300000</v>
      </c>
      <c r="F1118" s="272">
        <v>534.81419342674849</v>
      </c>
      <c r="G1118" s="282">
        <v>579.64599999999996</v>
      </c>
      <c r="H1118" s="274" t="s">
        <v>148</v>
      </c>
      <c r="I1118" s="274" t="s">
        <v>138</v>
      </c>
      <c r="J1118" s="274" t="s">
        <v>98</v>
      </c>
      <c r="K1118" s="290" t="s">
        <v>205</v>
      </c>
      <c r="L1118" s="270" t="s">
        <v>155</v>
      </c>
      <c r="M1118" s="270"/>
      <c r="N1118" s="270"/>
      <c r="O1118" s="270"/>
    </row>
    <row r="1119" spans="1:15" hidden="1">
      <c r="A1119" s="294">
        <v>45825</v>
      </c>
      <c r="B1119" s="270" t="s">
        <v>2004</v>
      </c>
      <c r="C1119" s="270" t="s">
        <v>175</v>
      </c>
      <c r="D1119" s="270" t="s">
        <v>117</v>
      </c>
      <c r="E1119" s="272">
        <v>8000</v>
      </c>
      <c r="F1119" s="272">
        <v>14.261711824713291</v>
      </c>
      <c r="G1119" s="282">
        <v>579.64599999999996</v>
      </c>
      <c r="H1119" s="274" t="s">
        <v>193</v>
      </c>
      <c r="I1119" s="274" t="s">
        <v>2252</v>
      </c>
      <c r="J1119" s="274" t="s">
        <v>98</v>
      </c>
      <c r="K1119" s="290" t="s">
        <v>205</v>
      </c>
      <c r="L1119" s="270" t="s">
        <v>155</v>
      </c>
      <c r="M1119" s="270"/>
      <c r="N1119" s="270"/>
      <c r="O1119" s="270"/>
    </row>
    <row r="1120" spans="1:15" hidden="1">
      <c r="A1120" s="294">
        <v>45825</v>
      </c>
      <c r="B1120" s="270" t="s">
        <v>2189</v>
      </c>
      <c r="C1120" s="270" t="s">
        <v>175</v>
      </c>
      <c r="D1120" s="270" t="s">
        <v>117</v>
      </c>
      <c r="E1120" s="272">
        <v>29000</v>
      </c>
      <c r="F1120" s="272">
        <v>51.698705364585685</v>
      </c>
      <c r="G1120" s="282">
        <v>579.64599999999996</v>
      </c>
      <c r="H1120" s="274" t="s">
        <v>193</v>
      </c>
      <c r="I1120" s="274" t="s">
        <v>236</v>
      </c>
      <c r="J1120" s="274" t="s">
        <v>98</v>
      </c>
      <c r="K1120" s="290" t="s">
        <v>205</v>
      </c>
      <c r="L1120" s="270" t="s">
        <v>155</v>
      </c>
      <c r="M1120" s="270"/>
      <c r="N1120" s="270"/>
      <c r="O1120" s="270"/>
    </row>
    <row r="1121" spans="1:15" hidden="1">
      <c r="A1121" s="294">
        <v>45825</v>
      </c>
      <c r="B1121" s="270" t="s">
        <v>2190</v>
      </c>
      <c r="C1121" s="276" t="s">
        <v>179</v>
      </c>
      <c r="D1121" s="270" t="s">
        <v>117</v>
      </c>
      <c r="E1121" s="272">
        <v>50000</v>
      </c>
      <c r="F1121" s="272">
        <v>89.135698904458081</v>
      </c>
      <c r="G1121" s="282">
        <v>579.64599999999996</v>
      </c>
      <c r="H1121" s="274" t="s">
        <v>193</v>
      </c>
      <c r="I1121" s="274" t="s">
        <v>238</v>
      </c>
      <c r="J1121" s="274" t="s">
        <v>98</v>
      </c>
      <c r="K1121" s="290" t="s">
        <v>205</v>
      </c>
      <c r="L1121" s="270" t="s">
        <v>155</v>
      </c>
      <c r="M1121" s="270"/>
      <c r="N1121" s="270"/>
      <c r="O1121" s="270"/>
    </row>
    <row r="1122" spans="1:15" hidden="1">
      <c r="A1122" s="294">
        <v>45826</v>
      </c>
      <c r="B1122" s="270" t="s">
        <v>2209</v>
      </c>
      <c r="C1122" s="270" t="s">
        <v>175</v>
      </c>
      <c r="D1122" s="270" t="s">
        <v>117</v>
      </c>
      <c r="E1122" s="272">
        <v>15500</v>
      </c>
      <c r="F1122" s="272">
        <v>27.632066660382005</v>
      </c>
      <c r="G1122" s="282">
        <v>579.64599999999996</v>
      </c>
      <c r="H1122" s="274" t="s">
        <v>1691</v>
      </c>
      <c r="I1122" s="274" t="s">
        <v>379</v>
      </c>
      <c r="J1122" s="274" t="s">
        <v>98</v>
      </c>
      <c r="K1122" s="290" t="s">
        <v>205</v>
      </c>
      <c r="L1122" s="270" t="s">
        <v>155</v>
      </c>
      <c r="M1122" s="270"/>
      <c r="N1122" s="270"/>
      <c r="O1122" s="270"/>
    </row>
    <row r="1123" spans="1:15" hidden="1">
      <c r="A1123" s="294">
        <v>45826</v>
      </c>
      <c r="B1123" s="270" t="s">
        <v>2253</v>
      </c>
      <c r="C1123" s="276" t="s">
        <v>179</v>
      </c>
      <c r="D1123" s="270" t="s">
        <v>117</v>
      </c>
      <c r="E1123" s="272">
        <v>20000</v>
      </c>
      <c r="F1123" s="272">
        <v>35.654279561783227</v>
      </c>
      <c r="G1123" s="282">
        <v>579.64599999999996</v>
      </c>
      <c r="H1123" s="274" t="s">
        <v>193</v>
      </c>
      <c r="I1123" s="274" t="s">
        <v>348</v>
      </c>
      <c r="J1123" s="274" t="s">
        <v>98</v>
      </c>
      <c r="K1123" s="290" t="s">
        <v>205</v>
      </c>
      <c r="L1123" s="270" t="s">
        <v>155</v>
      </c>
      <c r="M1123" s="270"/>
      <c r="N1123" s="270"/>
      <c r="O1123" s="270"/>
    </row>
    <row r="1124" spans="1:15" hidden="1">
      <c r="A1124" s="294">
        <v>45827</v>
      </c>
      <c r="B1124" s="270" t="s">
        <v>2254</v>
      </c>
      <c r="C1124" s="270" t="s">
        <v>327</v>
      </c>
      <c r="D1124" s="270" t="s">
        <v>117</v>
      </c>
      <c r="E1124" s="272">
        <v>34500</v>
      </c>
      <c r="F1124" s="272">
        <v>61.503632244076073</v>
      </c>
      <c r="G1124" s="282">
        <v>579.64599999999996</v>
      </c>
      <c r="H1124" s="274" t="s">
        <v>193</v>
      </c>
      <c r="I1124" s="274" t="s">
        <v>2255</v>
      </c>
      <c r="J1124" s="274" t="s">
        <v>98</v>
      </c>
      <c r="K1124" s="290" t="s">
        <v>205</v>
      </c>
      <c r="L1124" s="270" t="s">
        <v>155</v>
      </c>
      <c r="M1124" s="270"/>
      <c r="N1124" s="270"/>
      <c r="O1124" s="270"/>
    </row>
    <row r="1125" spans="1:15" hidden="1">
      <c r="A1125" s="294">
        <v>45827</v>
      </c>
      <c r="B1125" s="270" t="s">
        <v>2340</v>
      </c>
      <c r="C1125" s="276" t="s">
        <v>2344</v>
      </c>
      <c r="D1125" s="270" t="s">
        <v>2332</v>
      </c>
      <c r="E1125" s="272">
        <v>132000</v>
      </c>
      <c r="F1125" s="272">
        <v>235.31824510776931</v>
      </c>
      <c r="G1125" s="282">
        <v>579.64599999999996</v>
      </c>
      <c r="H1125" s="274" t="s">
        <v>217</v>
      </c>
      <c r="I1125" s="274" t="s">
        <v>2191</v>
      </c>
      <c r="J1125" s="274" t="s">
        <v>98</v>
      </c>
      <c r="K1125" s="290" t="s">
        <v>205</v>
      </c>
      <c r="L1125" s="270" t="s">
        <v>155</v>
      </c>
      <c r="M1125" s="270"/>
      <c r="N1125" s="270"/>
      <c r="O1125" s="270"/>
    </row>
    <row r="1126" spans="1:15" hidden="1">
      <c r="A1126" s="294">
        <v>45828</v>
      </c>
      <c r="B1126" s="270" t="s">
        <v>2256</v>
      </c>
      <c r="C1126" s="276" t="s">
        <v>179</v>
      </c>
      <c r="D1126" s="270" t="s">
        <v>117</v>
      </c>
      <c r="E1126" s="272">
        <v>30000</v>
      </c>
      <c r="F1126" s="272">
        <v>53.481419342674847</v>
      </c>
      <c r="G1126" s="282">
        <v>579.64599999999996</v>
      </c>
      <c r="H1126" s="274" t="s">
        <v>193</v>
      </c>
      <c r="I1126" s="274" t="s">
        <v>2257</v>
      </c>
      <c r="J1126" s="274" t="s">
        <v>98</v>
      </c>
      <c r="K1126" s="290" t="s">
        <v>205</v>
      </c>
      <c r="L1126" s="270" t="s">
        <v>155</v>
      </c>
      <c r="M1126" s="270"/>
      <c r="N1126" s="270"/>
      <c r="O1126" s="270"/>
    </row>
    <row r="1127" spans="1:15" hidden="1">
      <c r="A1127" s="294">
        <v>45828</v>
      </c>
      <c r="B1127" s="270" t="s">
        <v>2336</v>
      </c>
      <c r="C1127" s="276" t="s">
        <v>1321</v>
      </c>
      <c r="D1127" s="270" t="s">
        <v>118</v>
      </c>
      <c r="E1127" s="272">
        <v>25000</v>
      </c>
      <c r="F1127" s="272">
        <v>44.567849452229041</v>
      </c>
      <c r="G1127" s="282">
        <v>579.64599999999996</v>
      </c>
      <c r="H1127" s="274" t="s">
        <v>643</v>
      </c>
      <c r="I1127" s="274" t="s">
        <v>240</v>
      </c>
      <c r="J1127" s="274" t="s">
        <v>98</v>
      </c>
      <c r="K1127" s="290" t="s">
        <v>205</v>
      </c>
      <c r="L1127" s="270" t="s">
        <v>155</v>
      </c>
      <c r="M1127" s="270"/>
      <c r="N1127" s="270"/>
      <c r="O1127" s="270"/>
    </row>
    <row r="1128" spans="1:15" hidden="1">
      <c r="A1128" s="294">
        <v>45828</v>
      </c>
      <c r="B1128" s="270" t="s">
        <v>2226</v>
      </c>
      <c r="C1128" s="270" t="s">
        <v>175</v>
      </c>
      <c r="D1128" s="271" t="s">
        <v>502</v>
      </c>
      <c r="E1128" s="272">
        <v>32100</v>
      </c>
      <c r="F1128" s="272">
        <v>57.225118696662086</v>
      </c>
      <c r="G1128" s="282">
        <v>579.64599999999996</v>
      </c>
      <c r="H1128" s="274" t="s">
        <v>187</v>
      </c>
      <c r="I1128" s="274" t="s">
        <v>207</v>
      </c>
      <c r="J1128" s="274" t="s">
        <v>98</v>
      </c>
      <c r="K1128" s="290" t="s">
        <v>205</v>
      </c>
      <c r="L1128" s="270" t="s">
        <v>155</v>
      </c>
      <c r="M1128" s="270"/>
      <c r="N1128" s="270"/>
      <c r="O1128" s="270"/>
    </row>
    <row r="1129" spans="1:15" hidden="1">
      <c r="A1129" s="294">
        <v>45828</v>
      </c>
      <c r="B1129" s="270" t="s">
        <v>2227</v>
      </c>
      <c r="C1129" s="270" t="s">
        <v>406</v>
      </c>
      <c r="D1129" s="271" t="s">
        <v>502</v>
      </c>
      <c r="E1129" s="272">
        <v>8500</v>
      </c>
      <c r="F1129" s="272">
        <v>15.153068813757873</v>
      </c>
      <c r="G1129" s="282">
        <v>579.64599999999996</v>
      </c>
      <c r="H1129" s="274" t="s">
        <v>187</v>
      </c>
      <c r="I1129" s="274" t="s">
        <v>339</v>
      </c>
      <c r="J1129" s="274" t="s">
        <v>98</v>
      </c>
      <c r="K1129" s="290" t="s">
        <v>205</v>
      </c>
      <c r="L1129" s="270" t="s">
        <v>155</v>
      </c>
      <c r="M1129" s="270"/>
      <c r="N1129" s="270"/>
      <c r="O1129" s="270"/>
    </row>
    <row r="1130" spans="1:15" hidden="1">
      <c r="A1130" s="294">
        <v>45828</v>
      </c>
      <c r="B1130" s="270" t="s">
        <v>2238</v>
      </c>
      <c r="C1130" s="270" t="s">
        <v>175</v>
      </c>
      <c r="D1130" s="271" t="s">
        <v>502</v>
      </c>
      <c r="E1130" s="272">
        <v>50500</v>
      </c>
      <c r="F1130" s="272">
        <v>90.027055893502663</v>
      </c>
      <c r="G1130" s="282">
        <v>579.64599999999996</v>
      </c>
      <c r="H1130" s="274" t="s">
        <v>332</v>
      </c>
      <c r="I1130" s="274" t="s">
        <v>404</v>
      </c>
      <c r="J1130" s="274" t="s">
        <v>98</v>
      </c>
      <c r="K1130" s="290" t="s">
        <v>205</v>
      </c>
      <c r="L1130" s="270" t="s">
        <v>155</v>
      </c>
      <c r="M1130" s="270"/>
      <c r="N1130" s="270"/>
      <c r="O1130" s="270"/>
    </row>
    <row r="1131" spans="1:15" hidden="1">
      <c r="A1131" s="294">
        <v>45828</v>
      </c>
      <c r="B1131" s="270" t="s">
        <v>2241</v>
      </c>
      <c r="C1131" s="270" t="s">
        <v>175</v>
      </c>
      <c r="D1131" s="271" t="s">
        <v>502</v>
      </c>
      <c r="E1131" s="272">
        <v>29000</v>
      </c>
      <c r="F1131" s="272">
        <v>51.698705364585685</v>
      </c>
      <c r="G1131" s="282">
        <v>579.64599999999996</v>
      </c>
      <c r="H1131" s="274" t="s">
        <v>343</v>
      </c>
      <c r="I1131" s="274" t="s">
        <v>346</v>
      </c>
      <c r="J1131" s="274" t="s">
        <v>98</v>
      </c>
      <c r="K1131" s="290" t="s">
        <v>205</v>
      </c>
      <c r="L1131" s="270" t="s">
        <v>155</v>
      </c>
      <c r="M1131" s="270"/>
      <c r="N1131" s="270"/>
      <c r="O1131" s="270"/>
    </row>
    <row r="1132" spans="1:15" hidden="1">
      <c r="A1132" s="294">
        <v>45828</v>
      </c>
      <c r="B1132" s="270" t="s">
        <v>2192</v>
      </c>
      <c r="C1132" s="270" t="s">
        <v>175</v>
      </c>
      <c r="D1132" s="270" t="s">
        <v>117</v>
      </c>
      <c r="E1132" s="272">
        <v>82000</v>
      </c>
      <c r="F1132" s="272">
        <v>146.18254620331123</v>
      </c>
      <c r="G1132" s="282">
        <v>579.64599999999996</v>
      </c>
      <c r="H1132" s="274" t="s">
        <v>497</v>
      </c>
      <c r="I1132" s="274" t="s">
        <v>242</v>
      </c>
      <c r="J1132" s="274" t="s">
        <v>98</v>
      </c>
      <c r="K1132" s="290" t="s">
        <v>205</v>
      </c>
      <c r="L1132" s="270" t="s">
        <v>155</v>
      </c>
      <c r="M1132" s="270"/>
      <c r="N1132" s="270"/>
      <c r="O1132" s="270"/>
    </row>
    <row r="1133" spans="1:15" hidden="1">
      <c r="A1133" s="294">
        <v>45828</v>
      </c>
      <c r="B1133" s="270" t="s">
        <v>2193</v>
      </c>
      <c r="C1133" s="276" t="s">
        <v>179</v>
      </c>
      <c r="D1133" s="270" t="s">
        <v>117</v>
      </c>
      <c r="E1133" s="272">
        <v>175000</v>
      </c>
      <c r="F1133" s="272">
        <v>311.97494616560328</v>
      </c>
      <c r="G1133" s="282">
        <v>579.64599999999996</v>
      </c>
      <c r="H1133" s="274" t="s">
        <v>497</v>
      </c>
      <c r="I1133" s="274" t="s">
        <v>244</v>
      </c>
      <c r="J1133" s="274" t="s">
        <v>98</v>
      </c>
      <c r="K1133" s="290" t="s">
        <v>205</v>
      </c>
      <c r="L1133" s="270" t="s">
        <v>155</v>
      </c>
      <c r="M1133" s="270"/>
      <c r="N1133" s="270"/>
      <c r="O1133" s="270"/>
    </row>
    <row r="1134" spans="1:15" hidden="1">
      <c r="A1134" s="294">
        <v>45828</v>
      </c>
      <c r="B1134" s="270" t="s">
        <v>2333</v>
      </c>
      <c r="C1134" s="270" t="s">
        <v>175</v>
      </c>
      <c r="D1134" s="270" t="s">
        <v>120</v>
      </c>
      <c r="E1134" s="272">
        <v>22500</v>
      </c>
      <c r="F1134" s="272">
        <v>40.111064507006134</v>
      </c>
      <c r="G1134" s="282">
        <v>579.64599999999996</v>
      </c>
      <c r="H1134" s="274" t="s">
        <v>217</v>
      </c>
      <c r="I1134" s="274" t="s">
        <v>477</v>
      </c>
      <c r="J1134" s="274" t="s">
        <v>98</v>
      </c>
      <c r="K1134" s="290" t="s">
        <v>205</v>
      </c>
      <c r="L1134" s="270" t="s">
        <v>155</v>
      </c>
      <c r="M1134" s="270"/>
      <c r="N1134" s="270"/>
      <c r="O1134" s="270"/>
    </row>
    <row r="1135" spans="1:15" hidden="1">
      <c r="A1135" s="294">
        <v>45830</v>
      </c>
      <c r="B1135" s="270" t="s">
        <v>2306</v>
      </c>
      <c r="C1135" s="270" t="s">
        <v>199</v>
      </c>
      <c r="D1135" s="270" t="s">
        <v>117</v>
      </c>
      <c r="E1135" s="272">
        <v>33000</v>
      </c>
      <c r="F1135" s="272">
        <v>58.829561276942329</v>
      </c>
      <c r="G1135" s="282">
        <v>579.64599999999996</v>
      </c>
      <c r="H1135" s="274" t="s">
        <v>497</v>
      </c>
      <c r="I1135" s="274" t="s">
        <v>2307</v>
      </c>
      <c r="J1135" s="274" t="s">
        <v>98</v>
      </c>
      <c r="K1135" s="290" t="s">
        <v>205</v>
      </c>
      <c r="L1135" s="270" t="s">
        <v>155</v>
      </c>
      <c r="M1135" s="270"/>
      <c r="N1135" s="270"/>
      <c r="O1135" s="270"/>
    </row>
    <row r="1136" spans="1:15" hidden="1">
      <c r="A1136" s="294">
        <v>45830</v>
      </c>
      <c r="B1136" s="270" t="s">
        <v>2308</v>
      </c>
      <c r="C1136" s="276" t="s">
        <v>179</v>
      </c>
      <c r="D1136" s="270" t="s">
        <v>117</v>
      </c>
      <c r="E1136" s="272">
        <v>70000</v>
      </c>
      <c r="F1136" s="272">
        <v>124.78997846624131</v>
      </c>
      <c r="G1136" s="282">
        <v>579.64599999999996</v>
      </c>
      <c r="H1136" s="274" t="s">
        <v>497</v>
      </c>
      <c r="I1136" s="274" t="s">
        <v>314</v>
      </c>
      <c r="J1136" s="274" t="s">
        <v>98</v>
      </c>
      <c r="K1136" s="290" t="s">
        <v>205</v>
      </c>
      <c r="L1136" s="270" t="s">
        <v>155</v>
      </c>
      <c r="M1136" s="270"/>
      <c r="N1136" s="270"/>
      <c r="O1136" s="270"/>
    </row>
    <row r="1137" spans="1:15" hidden="1">
      <c r="A1137" s="294">
        <v>45831</v>
      </c>
      <c r="B1137" s="270" t="s">
        <v>2194</v>
      </c>
      <c r="C1137" s="270" t="s">
        <v>317</v>
      </c>
      <c r="D1137" s="270" t="s">
        <v>118</v>
      </c>
      <c r="E1137" s="272">
        <v>10000</v>
      </c>
      <c r="F1137" s="272">
        <v>17.827139780891613</v>
      </c>
      <c r="G1137" s="282">
        <v>579.64599999999996</v>
      </c>
      <c r="H1137" s="274" t="s">
        <v>643</v>
      </c>
      <c r="I1137" s="274" t="s">
        <v>246</v>
      </c>
      <c r="J1137" s="274" t="s">
        <v>98</v>
      </c>
      <c r="K1137" s="290" t="s">
        <v>205</v>
      </c>
      <c r="L1137" s="270" t="s">
        <v>155</v>
      </c>
      <c r="M1137" s="270"/>
      <c r="N1137" s="270"/>
      <c r="O1137" s="270"/>
    </row>
    <row r="1138" spans="1:15" hidden="1">
      <c r="A1138" s="294">
        <v>45831</v>
      </c>
      <c r="B1138" s="270" t="s">
        <v>2234</v>
      </c>
      <c r="C1138" s="270" t="s">
        <v>406</v>
      </c>
      <c r="D1138" s="271" t="s">
        <v>502</v>
      </c>
      <c r="E1138" s="272">
        <v>12500</v>
      </c>
      <c r="F1138" s="272">
        <v>22.28392472611452</v>
      </c>
      <c r="G1138" s="282">
        <v>579.64599999999996</v>
      </c>
      <c r="H1138" s="274" t="s">
        <v>176</v>
      </c>
      <c r="I1138" s="274" t="s">
        <v>180</v>
      </c>
      <c r="J1138" s="274" t="s">
        <v>98</v>
      </c>
      <c r="K1138" s="290" t="s">
        <v>205</v>
      </c>
      <c r="L1138" s="270" t="s">
        <v>155</v>
      </c>
      <c r="M1138" s="270"/>
      <c r="N1138" s="270"/>
      <c r="O1138" s="270"/>
    </row>
    <row r="1139" spans="1:15" hidden="1">
      <c r="A1139" s="294">
        <v>45831</v>
      </c>
      <c r="B1139" s="270" t="s">
        <v>2309</v>
      </c>
      <c r="C1139" s="276" t="s">
        <v>179</v>
      </c>
      <c r="D1139" s="270" t="s">
        <v>117</v>
      </c>
      <c r="E1139" s="272">
        <v>15000</v>
      </c>
      <c r="F1139" s="272">
        <v>26.740709671337424</v>
      </c>
      <c r="G1139" s="282">
        <v>579.64599999999996</v>
      </c>
      <c r="H1139" s="274" t="s">
        <v>497</v>
      </c>
      <c r="I1139" s="274" t="s">
        <v>2310</v>
      </c>
      <c r="J1139" s="274" t="s">
        <v>98</v>
      </c>
      <c r="K1139" s="290" t="s">
        <v>205</v>
      </c>
      <c r="L1139" s="270" t="s">
        <v>155</v>
      </c>
      <c r="M1139" s="270"/>
      <c r="N1139" s="270"/>
      <c r="O1139" s="270"/>
    </row>
    <row r="1140" spans="1:15" hidden="1">
      <c r="A1140" s="294">
        <v>45832</v>
      </c>
      <c r="B1140" s="270" t="s">
        <v>2235</v>
      </c>
      <c r="C1140" s="270" t="s">
        <v>175</v>
      </c>
      <c r="D1140" s="271" t="s">
        <v>502</v>
      </c>
      <c r="E1140" s="272">
        <v>61800</v>
      </c>
      <c r="F1140" s="272">
        <v>110.17172384591018</v>
      </c>
      <c r="G1140" s="282">
        <v>579.64599999999996</v>
      </c>
      <c r="H1140" s="274" t="s">
        <v>176</v>
      </c>
      <c r="I1140" s="274" t="s">
        <v>341</v>
      </c>
      <c r="J1140" s="274" t="s">
        <v>98</v>
      </c>
      <c r="K1140" s="290" t="s">
        <v>205</v>
      </c>
      <c r="L1140" s="270" t="s">
        <v>155</v>
      </c>
      <c r="M1140" s="270"/>
      <c r="N1140" s="270"/>
      <c r="O1140" s="270"/>
    </row>
    <row r="1141" spans="1:15" hidden="1">
      <c r="A1141" s="294">
        <v>45832</v>
      </c>
      <c r="B1141" s="270" t="s">
        <v>2195</v>
      </c>
      <c r="C1141" s="277" t="s">
        <v>2342</v>
      </c>
      <c r="D1141" s="270" t="s">
        <v>118</v>
      </c>
      <c r="E1141" s="272">
        <v>2000</v>
      </c>
      <c r="F1141" s="272">
        <v>3.5654279561783229</v>
      </c>
      <c r="G1141" s="282">
        <v>579.64599999999996</v>
      </c>
      <c r="H1141" s="274" t="s">
        <v>193</v>
      </c>
      <c r="I1141" s="274" t="s">
        <v>287</v>
      </c>
      <c r="J1141" s="274" t="s">
        <v>98</v>
      </c>
      <c r="K1141" s="290" t="s">
        <v>205</v>
      </c>
      <c r="L1141" s="270" t="s">
        <v>155</v>
      </c>
      <c r="M1141" s="270"/>
      <c r="N1141" s="270"/>
      <c r="O1141" s="270"/>
    </row>
    <row r="1142" spans="1:15" hidden="1">
      <c r="A1142" s="294">
        <v>45832</v>
      </c>
      <c r="B1142" s="270" t="s">
        <v>2262</v>
      </c>
      <c r="C1142" s="270" t="s">
        <v>175</v>
      </c>
      <c r="D1142" s="270" t="s">
        <v>117</v>
      </c>
      <c r="E1142" s="272">
        <v>7000</v>
      </c>
      <c r="F1142" s="272">
        <v>12.47899784662413</v>
      </c>
      <c r="G1142" s="282">
        <v>579.64599999999996</v>
      </c>
      <c r="H1142" s="274" t="s">
        <v>196</v>
      </c>
      <c r="I1142" s="274" t="s">
        <v>2277</v>
      </c>
      <c r="J1142" s="274" t="s">
        <v>98</v>
      </c>
      <c r="K1142" s="290" t="s">
        <v>205</v>
      </c>
      <c r="L1142" s="270" t="s">
        <v>155</v>
      </c>
      <c r="M1142" s="270"/>
      <c r="N1142" s="270"/>
      <c r="O1142" s="270"/>
    </row>
    <row r="1143" spans="1:15" hidden="1">
      <c r="A1143" s="294">
        <v>45832</v>
      </c>
      <c r="B1143" s="270" t="s">
        <v>2279</v>
      </c>
      <c r="C1143" s="270" t="s">
        <v>175</v>
      </c>
      <c r="D1143" s="270" t="s">
        <v>117</v>
      </c>
      <c r="E1143" s="272">
        <v>20000</v>
      </c>
      <c r="F1143" s="272">
        <v>35.654279561783227</v>
      </c>
      <c r="G1143" s="282">
        <v>579.64599999999996</v>
      </c>
      <c r="H1143" s="274" t="s">
        <v>196</v>
      </c>
      <c r="I1143" s="274" t="s">
        <v>277</v>
      </c>
      <c r="J1143" s="274" t="s">
        <v>98</v>
      </c>
      <c r="K1143" s="290" t="s">
        <v>205</v>
      </c>
      <c r="L1143" s="270" t="s">
        <v>155</v>
      </c>
      <c r="M1143" s="270"/>
      <c r="N1143" s="270"/>
      <c r="O1143" s="270"/>
    </row>
    <row r="1144" spans="1:15" hidden="1">
      <c r="A1144" s="294">
        <v>45832</v>
      </c>
      <c r="B1144" s="270" t="s">
        <v>2280</v>
      </c>
      <c r="C1144" s="276" t="s">
        <v>179</v>
      </c>
      <c r="D1144" s="270" t="s">
        <v>117</v>
      </c>
      <c r="E1144" s="272">
        <v>50000</v>
      </c>
      <c r="F1144" s="272">
        <v>89.135698904458081</v>
      </c>
      <c r="G1144" s="282">
        <v>579.64599999999996</v>
      </c>
      <c r="H1144" s="274" t="s">
        <v>196</v>
      </c>
      <c r="I1144" s="274" t="s">
        <v>285</v>
      </c>
      <c r="J1144" s="274" t="s">
        <v>98</v>
      </c>
      <c r="K1144" s="290" t="s">
        <v>205</v>
      </c>
      <c r="L1144" s="270" t="s">
        <v>155</v>
      </c>
      <c r="M1144" s="270"/>
      <c r="N1144" s="270"/>
      <c r="O1144" s="270"/>
    </row>
    <row r="1145" spans="1:15" hidden="1">
      <c r="A1145" s="294">
        <v>45832</v>
      </c>
      <c r="B1145" s="270" t="s">
        <v>2311</v>
      </c>
      <c r="C1145" s="276" t="s">
        <v>179</v>
      </c>
      <c r="D1145" s="270" t="s">
        <v>117</v>
      </c>
      <c r="E1145" s="272">
        <v>15000</v>
      </c>
      <c r="F1145" s="272">
        <v>26.740709671337424</v>
      </c>
      <c r="G1145" s="282">
        <v>579.64599999999996</v>
      </c>
      <c r="H1145" s="274" t="s">
        <v>497</v>
      </c>
      <c r="I1145" s="274" t="s">
        <v>2312</v>
      </c>
      <c r="J1145" s="274" t="s">
        <v>98</v>
      </c>
      <c r="K1145" s="290" t="s">
        <v>205</v>
      </c>
      <c r="L1145" s="270" t="s">
        <v>155</v>
      </c>
      <c r="M1145" s="270"/>
      <c r="N1145" s="270"/>
      <c r="O1145" s="270"/>
    </row>
    <row r="1146" spans="1:15" hidden="1">
      <c r="A1146" s="294">
        <v>45832</v>
      </c>
      <c r="B1146" s="295" t="s">
        <v>2159</v>
      </c>
      <c r="C1146" s="270" t="s">
        <v>123</v>
      </c>
      <c r="D1146" s="270" t="s">
        <v>117</v>
      </c>
      <c r="E1146" s="272">
        <v>300000</v>
      </c>
      <c r="F1146" s="272">
        <v>534.81419342674849</v>
      </c>
      <c r="G1146" s="282">
        <v>579.64599999999996</v>
      </c>
      <c r="H1146" s="274" t="s">
        <v>148</v>
      </c>
      <c r="I1146" s="274" t="s">
        <v>139</v>
      </c>
      <c r="J1146" s="274" t="s">
        <v>98</v>
      </c>
      <c r="K1146" s="290" t="s">
        <v>205</v>
      </c>
      <c r="L1146" s="270" t="s">
        <v>155</v>
      </c>
      <c r="M1146" s="270"/>
      <c r="N1146" s="270"/>
      <c r="O1146" s="270"/>
    </row>
    <row r="1147" spans="1:15" hidden="1">
      <c r="A1147" s="294">
        <v>45833</v>
      </c>
      <c r="B1147" s="270" t="s">
        <v>2278</v>
      </c>
      <c r="C1147" s="276" t="s">
        <v>179</v>
      </c>
      <c r="D1147" s="270" t="s">
        <v>117</v>
      </c>
      <c r="E1147" s="272">
        <v>20000</v>
      </c>
      <c r="F1147" s="272">
        <v>35.654279561783227</v>
      </c>
      <c r="G1147" s="282">
        <v>579.64599999999996</v>
      </c>
      <c r="H1147" s="274" t="s">
        <v>196</v>
      </c>
      <c r="I1147" s="274" t="s">
        <v>475</v>
      </c>
      <c r="J1147" s="274" t="s">
        <v>98</v>
      </c>
      <c r="K1147" s="290" t="s">
        <v>205</v>
      </c>
      <c r="L1147" s="270" t="s">
        <v>155</v>
      </c>
      <c r="M1147" s="270"/>
      <c r="N1147" s="270"/>
      <c r="O1147" s="270"/>
    </row>
    <row r="1148" spans="1:15" hidden="1">
      <c r="A1148" s="297">
        <v>45834</v>
      </c>
      <c r="B1148" s="270" t="s">
        <v>2282</v>
      </c>
      <c r="C1148" s="270" t="s">
        <v>327</v>
      </c>
      <c r="D1148" s="270" t="s">
        <v>117</v>
      </c>
      <c r="E1148" s="272">
        <v>21000</v>
      </c>
      <c r="F1148" s="272">
        <v>37.43699353987239</v>
      </c>
      <c r="G1148" s="282">
        <v>579.64599999999996</v>
      </c>
      <c r="H1148" s="274" t="s">
        <v>196</v>
      </c>
      <c r="I1148" s="274" t="s">
        <v>2283</v>
      </c>
      <c r="J1148" s="274" t="s">
        <v>98</v>
      </c>
      <c r="K1148" s="290" t="s">
        <v>205</v>
      </c>
      <c r="L1148" s="270" t="s">
        <v>155</v>
      </c>
      <c r="M1148" s="270"/>
      <c r="N1148" s="270"/>
      <c r="O1148" s="270"/>
    </row>
    <row r="1149" spans="1:15" hidden="1">
      <c r="A1149" s="294">
        <v>45834</v>
      </c>
      <c r="B1149" s="270" t="s">
        <v>2313</v>
      </c>
      <c r="C1149" s="270" t="s">
        <v>327</v>
      </c>
      <c r="D1149" s="270" t="s">
        <v>117</v>
      </c>
      <c r="E1149" s="272">
        <v>40500</v>
      </c>
      <c r="F1149" s="272">
        <v>72.199916112611035</v>
      </c>
      <c r="G1149" s="282">
        <v>579.64599999999996</v>
      </c>
      <c r="H1149" s="274" t="s">
        <v>497</v>
      </c>
      <c r="I1149" s="274" t="s">
        <v>2314</v>
      </c>
      <c r="J1149" s="274" t="s">
        <v>98</v>
      </c>
      <c r="K1149" s="290" t="s">
        <v>205</v>
      </c>
      <c r="L1149" s="270" t="s">
        <v>155</v>
      </c>
      <c r="M1149" s="270"/>
      <c r="N1149" s="270"/>
      <c r="O1149" s="270"/>
    </row>
    <row r="1150" spans="1:15" hidden="1">
      <c r="A1150" s="297">
        <v>45835</v>
      </c>
      <c r="B1150" s="270" t="s">
        <v>2264</v>
      </c>
      <c r="C1150" s="270" t="s">
        <v>175</v>
      </c>
      <c r="D1150" s="270" t="s">
        <v>117</v>
      </c>
      <c r="E1150" s="272">
        <v>7000</v>
      </c>
      <c r="F1150" s="272">
        <v>12.47899784662413</v>
      </c>
      <c r="G1150" s="282">
        <v>579.64599999999996</v>
      </c>
      <c r="H1150" s="274" t="s">
        <v>196</v>
      </c>
      <c r="I1150" s="274" t="s">
        <v>2281</v>
      </c>
      <c r="J1150" s="274" t="s">
        <v>98</v>
      </c>
      <c r="K1150" s="290" t="s">
        <v>205</v>
      </c>
      <c r="L1150" s="270" t="s">
        <v>155</v>
      </c>
      <c r="M1150" s="270"/>
      <c r="N1150" s="270"/>
      <c r="O1150" s="270"/>
    </row>
    <row r="1151" spans="1:15" hidden="1">
      <c r="A1151" s="294">
        <v>45835</v>
      </c>
      <c r="B1151" s="270" t="s">
        <v>2315</v>
      </c>
      <c r="C1151" s="270" t="s">
        <v>199</v>
      </c>
      <c r="D1151" s="270" t="s">
        <v>117</v>
      </c>
      <c r="E1151" s="272">
        <v>33000</v>
      </c>
      <c r="F1151" s="272">
        <v>58.829561276942329</v>
      </c>
      <c r="G1151" s="282">
        <v>579.64599999999996</v>
      </c>
      <c r="H1151" s="274" t="s">
        <v>497</v>
      </c>
      <c r="I1151" s="274" t="s">
        <v>2316</v>
      </c>
      <c r="J1151" s="274" t="s">
        <v>98</v>
      </c>
      <c r="K1151" s="290" t="s">
        <v>205</v>
      </c>
      <c r="L1151" s="270" t="s">
        <v>155</v>
      </c>
      <c r="M1151" s="270"/>
      <c r="N1151" s="270"/>
      <c r="O1151" s="270"/>
    </row>
    <row r="1152" spans="1:15" hidden="1">
      <c r="A1152" s="294">
        <v>45835</v>
      </c>
      <c r="B1152" s="270" t="s">
        <v>2214</v>
      </c>
      <c r="C1152" s="276" t="s">
        <v>126</v>
      </c>
      <c r="D1152" s="270" t="s">
        <v>118</v>
      </c>
      <c r="E1152" s="272">
        <v>8000</v>
      </c>
      <c r="F1152" s="272">
        <v>14.261711824713291</v>
      </c>
      <c r="G1152" s="282">
        <v>579.64599999999996</v>
      </c>
      <c r="H1152" s="274" t="s">
        <v>643</v>
      </c>
      <c r="I1152" s="274" t="s">
        <v>315</v>
      </c>
      <c r="J1152" s="274" t="s">
        <v>98</v>
      </c>
      <c r="K1152" s="290" t="s">
        <v>205</v>
      </c>
      <c r="L1152" s="270" t="s">
        <v>155</v>
      </c>
      <c r="M1152" s="270"/>
      <c r="N1152" s="270"/>
      <c r="O1152" s="270"/>
    </row>
    <row r="1153" spans="1:15" hidden="1">
      <c r="A1153" s="294">
        <v>45835</v>
      </c>
      <c r="B1153" s="270" t="s">
        <v>2197</v>
      </c>
      <c r="C1153" s="270" t="s">
        <v>317</v>
      </c>
      <c r="D1153" s="270" t="s">
        <v>118</v>
      </c>
      <c r="E1153" s="272">
        <v>75625</v>
      </c>
      <c r="F1153" s="272">
        <v>134.81774459299285</v>
      </c>
      <c r="G1153" s="282">
        <v>579.64599999999996</v>
      </c>
      <c r="H1153" s="274" t="s">
        <v>643</v>
      </c>
      <c r="I1153" s="274" t="s">
        <v>318</v>
      </c>
      <c r="J1153" s="274" t="s">
        <v>98</v>
      </c>
      <c r="K1153" s="290" t="s">
        <v>205</v>
      </c>
      <c r="L1153" s="270" t="s">
        <v>155</v>
      </c>
      <c r="M1153" s="270"/>
      <c r="N1153" s="270"/>
      <c r="O1153" s="270"/>
    </row>
    <row r="1154" spans="1:15" hidden="1">
      <c r="A1154" s="294">
        <v>45835</v>
      </c>
      <c r="B1154" s="270" t="s">
        <v>2284</v>
      </c>
      <c r="C1154" s="276" t="s">
        <v>179</v>
      </c>
      <c r="D1154" s="270" t="s">
        <v>117</v>
      </c>
      <c r="E1154" s="272">
        <v>30000</v>
      </c>
      <c r="F1154" s="272">
        <v>53.481419342674847</v>
      </c>
      <c r="G1154" s="282">
        <v>579.64599999999996</v>
      </c>
      <c r="H1154" s="274" t="s">
        <v>196</v>
      </c>
      <c r="I1154" s="274" t="s">
        <v>2285</v>
      </c>
      <c r="J1154" s="274" t="s">
        <v>98</v>
      </c>
      <c r="K1154" s="290" t="s">
        <v>205</v>
      </c>
      <c r="L1154" s="270" t="s">
        <v>155</v>
      </c>
      <c r="M1154" s="270"/>
      <c r="N1154" s="270"/>
      <c r="O1154" s="270"/>
    </row>
    <row r="1155" spans="1:15" hidden="1">
      <c r="A1155" s="294">
        <v>45835</v>
      </c>
      <c r="B1155" s="270" t="s">
        <v>2317</v>
      </c>
      <c r="C1155" s="276" t="s">
        <v>179</v>
      </c>
      <c r="D1155" s="270" t="s">
        <v>117</v>
      </c>
      <c r="E1155" s="272">
        <v>45000</v>
      </c>
      <c r="F1155" s="272">
        <v>80.222129014012268</v>
      </c>
      <c r="G1155" s="282">
        <v>579.64599999999996</v>
      </c>
      <c r="H1155" s="274" t="s">
        <v>497</v>
      </c>
      <c r="I1155" s="274" t="s">
        <v>2318</v>
      </c>
      <c r="J1155" s="274" t="s">
        <v>98</v>
      </c>
      <c r="K1155" s="290" t="s">
        <v>205</v>
      </c>
      <c r="L1155" s="270" t="s">
        <v>155</v>
      </c>
      <c r="M1155" s="270"/>
      <c r="N1155" s="270"/>
      <c r="O1155" s="270"/>
    </row>
    <row r="1156" spans="1:15" hidden="1">
      <c r="A1156" s="294">
        <v>45836</v>
      </c>
      <c r="B1156" s="270" t="s">
        <v>2319</v>
      </c>
      <c r="C1156" s="276" t="s">
        <v>179</v>
      </c>
      <c r="D1156" s="270" t="s">
        <v>117</v>
      </c>
      <c r="E1156" s="272">
        <v>15000</v>
      </c>
      <c r="F1156" s="272">
        <v>26.740709671337424</v>
      </c>
      <c r="G1156" s="282">
        <v>579.64599999999996</v>
      </c>
      <c r="H1156" s="274" t="s">
        <v>497</v>
      </c>
      <c r="I1156" s="274" t="s">
        <v>2320</v>
      </c>
      <c r="J1156" s="274" t="s">
        <v>98</v>
      </c>
      <c r="K1156" s="290" t="s">
        <v>205</v>
      </c>
      <c r="L1156" s="270" t="s">
        <v>155</v>
      </c>
      <c r="M1156" s="270"/>
      <c r="N1156" s="270"/>
      <c r="O1156" s="270"/>
    </row>
    <row r="1157" spans="1:15" hidden="1">
      <c r="A1157" s="294">
        <v>45837</v>
      </c>
      <c r="B1157" s="270" t="s">
        <v>2321</v>
      </c>
      <c r="C1157" s="276" t="s">
        <v>179</v>
      </c>
      <c r="D1157" s="270" t="s">
        <v>117</v>
      </c>
      <c r="E1157" s="272">
        <v>15000</v>
      </c>
      <c r="F1157" s="272">
        <v>26.740709671337424</v>
      </c>
      <c r="G1157" s="282">
        <v>579.64599999999996</v>
      </c>
      <c r="H1157" s="274" t="s">
        <v>497</v>
      </c>
      <c r="I1157" s="274" t="s">
        <v>2322</v>
      </c>
      <c r="J1157" s="274" t="s">
        <v>98</v>
      </c>
      <c r="K1157" s="290" t="s">
        <v>205</v>
      </c>
      <c r="L1157" s="270" t="s">
        <v>155</v>
      </c>
      <c r="M1157" s="270"/>
      <c r="N1157" s="270"/>
      <c r="O1157" s="270"/>
    </row>
    <row r="1158" spans="1:15" hidden="1">
      <c r="A1158" s="294">
        <v>45837</v>
      </c>
      <c r="B1158" s="270" t="s">
        <v>2323</v>
      </c>
      <c r="C1158" s="270" t="s">
        <v>199</v>
      </c>
      <c r="D1158" s="270" t="s">
        <v>117</v>
      </c>
      <c r="E1158" s="272">
        <v>39000</v>
      </c>
      <c r="F1158" s="272">
        <v>69.525845145477305</v>
      </c>
      <c r="G1158" s="282">
        <v>579.64599999999996</v>
      </c>
      <c r="H1158" s="274" t="s">
        <v>497</v>
      </c>
      <c r="I1158" s="274" t="s">
        <v>2324</v>
      </c>
      <c r="J1158" s="274" t="s">
        <v>98</v>
      </c>
      <c r="K1158" s="290" t="s">
        <v>205</v>
      </c>
      <c r="L1158" s="270" t="s">
        <v>155</v>
      </c>
      <c r="M1158" s="270"/>
      <c r="N1158" s="270"/>
      <c r="O1158" s="270"/>
    </row>
    <row r="1159" spans="1:15" hidden="1">
      <c r="A1159" s="294">
        <v>45838</v>
      </c>
      <c r="B1159" s="270" t="s">
        <v>2201</v>
      </c>
      <c r="C1159" s="270" t="s">
        <v>175</v>
      </c>
      <c r="D1159" s="270" t="s">
        <v>119</v>
      </c>
      <c r="E1159" s="272">
        <v>49000</v>
      </c>
      <c r="F1159" s="272">
        <v>87.352984926368919</v>
      </c>
      <c r="G1159" s="282">
        <v>579.64599999999996</v>
      </c>
      <c r="H1159" s="274" t="s">
        <v>153</v>
      </c>
      <c r="I1159" s="274" t="s">
        <v>481</v>
      </c>
      <c r="J1159" s="274" t="s">
        <v>98</v>
      </c>
      <c r="K1159" s="290" t="s">
        <v>205</v>
      </c>
      <c r="L1159" s="270" t="s">
        <v>155</v>
      </c>
      <c r="M1159" s="270"/>
      <c r="N1159" s="270"/>
      <c r="O1159" s="270"/>
    </row>
    <row r="1160" spans="1:15" hidden="1">
      <c r="A1160" s="294">
        <v>45838</v>
      </c>
      <c r="B1160" s="270" t="s">
        <v>2194</v>
      </c>
      <c r="C1160" s="270" t="s">
        <v>317</v>
      </c>
      <c r="D1160" s="270" t="s">
        <v>118</v>
      </c>
      <c r="E1160" s="272">
        <v>50000</v>
      </c>
      <c r="F1160" s="272">
        <v>89.135698904458081</v>
      </c>
      <c r="G1160" s="282">
        <v>579.64599999999996</v>
      </c>
      <c r="H1160" s="274" t="s">
        <v>643</v>
      </c>
      <c r="I1160" s="274" t="s">
        <v>350</v>
      </c>
      <c r="J1160" s="274" t="s">
        <v>98</v>
      </c>
      <c r="K1160" s="290" t="s">
        <v>205</v>
      </c>
      <c r="L1160" s="270" t="s">
        <v>155</v>
      </c>
      <c r="M1160" s="270"/>
      <c r="N1160" s="270"/>
      <c r="O1160" s="270"/>
    </row>
    <row r="1161" spans="1:15" hidden="1">
      <c r="A1161" s="294">
        <v>45838</v>
      </c>
      <c r="B1161" s="270" t="s">
        <v>2198</v>
      </c>
      <c r="C1161" s="270" t="s">
        <v>686</v>
      </c>
      <c r="D1161" s="270" t="s">
        <v>118</v>
      </c>
      <c r="E1161" s="272">
        <v>45050</v>
      </c>
      <c r="F1161" s="272">
        <v>80.311264712916724</v>
      </c>
      <c r="G1161" s="282">
        <v>579.64599999999996</v>
      </c>
      <c r="H1161" s="274" t="s">
        <v>643</v>
      </c>
      <c r="I1161" s="274" t="s">
        <v>352</v>
      </c>
      <c r="J1161" s="274" t="s">
        <v>98</v>
      </c>
      <c r="K1161" s="290" t="s">
        <v>205</v>
      </c>
      <c r="L1161" s="270" t="s">
        <v>155</v>
      </c>
      <c r="M1161" s="270"/>
      <c r="N1161" s="270"/>
      <c r="O1161" s="270"/>
    </row>
    <row r="1162" spans="1:15" hidden="1">
      <c r="A1162" s="294">
        <v>45838</v>
      </c>
      <c r="B1162" s="270" t="s">
        <v>2212</v>
      </c>
      <c r="C1162" s="270" t="s">
        <v>175</v>
      </c>
      <c r="D1162" s="270" t="s">
        <v>118</v>
      </c>
      <c r="E1162" s="272">
        <v>26000</v>
      </c>
      <c r="F1162" s="272">
        <v>46.350563430318196</v>
      </c>
      <c r="G1162" s="282">
        <v>579.64599999999996</v>
      </c>
      <c r="H1162" s="274" t="s">
        <v>643</v>
      </c>
      <c r="I1162" s="274" t="s">
        <v>2213</v>
      </c>
      <c r="J1162" s="274" t="s">
        <v>98</v>
      </c>
      <c r="K1162" s="290" t="s">
        <v>205</v>
      </c>
      <c r="L1162" s="270" t="s">
        <v>155</v>
      </c>
      <c r="M1162" s="270"/>
      <c r="N1162" s="270"/>
      <c r="O1162" s="270"/>
    </row>
    <row r="1163" spans="1:15" hidden="1">
      <c r="A1163" s="294">
        <v>45838</v>
      </c>
      <c r="B1163" s="270" t="s">
        <v>2258</v>
      </c>
      <c r="C1163" s="270" t="s">
        <v>175</v>
      </c>
      <c r="D1163" s="270" t="s">
        <v>117</v>
      </c>
      <c r="E1163" s="272">
        <v>45700</v>
      </c>
      <c r="F1163" s="272">
        <v>81.470028798674676</v>
      </c>
      <c r="G1163" s="282">
        <v>579.64599999999996</v>
      </c>
      <c r="H1163" s="274" t="s">
        <v>193</v>
      </c>
      <c r="I1163" s="274" t="s">
        <v>2259</v>
      </c>
      <c r="J1163" s="274" t="s">
        <v>98</v>
      </c>
      <c r="K1163" s="290" t="s">
        <v>205</v>
      </c>
      <c r="L1163" s="270" t="s">
        <v>155</v>
      </c>
      <c r="M1163" s="270"/>
      <c r="N1163" s="270"/>
      <c r="O1163" s="270"/>
    </row>
    <row r="1164" spans="1:15" hidden="1">
      <c r="A1164" s="294">
        <v>45838</v>
      </c>
      <c r="B1164" s="270" t="s">
        <v>2286</v>
      </c>
      <c r="C1164" s="270" t="s">
        <v>175</v>
      </c>
      <c r="D1164" s="270" t="s">
        <v>117</v>
      </c>
      <c r="E1164" s="272">
        <v>53000</v>
      </c>
      <c r="F1164" s="272">
        <v>94.483840838725555</v>
      </c>
      <c r="G1164" s="282">
        <v>579.64599999999996</v>
      </c>
      <c r="H1164" s="274" t="s">
        <v>196</v>
      </c>
      <c r="I1164" s="274" t="s">
        <v>2287</v>
      </c>
      <c r="J1164" s="274" t="s">
        <v>98</v>
      </c>
      <c r="K1164" s="290" t="s">
        <v>205</v>
      </c>
      <c r="L1164" s="270" t="s">
        <v>155</v>
      </c>
      <c r="M1164" s="270"/>
      <c r="N1164" s="270"/>
      <c r="O1164" s="270"/>
    </row>
    <row r="1165" spans="1:15" ht="16.5">
      <c r="A1165" s="481">
        <v>45839</v>
      </c>
      <c r="B1165" s="321" t="s">
        <v>2355</v>
      </c>
      <c r="C1165" s="322" t="s">
        <v>175</v>
      </c>
      <c r="D1165" s="323" t="s">
        <v>119</v>
      </c>
      <c r="E1165" s="324">
        <v>1000</v>
      </c>
      <c r="F1165" s="358">
        <f t="shared" ref="F1165:F1211" si="3">E1165/G1165</f>
        <v>1.7827139780891614</v>
      </c>
      <c r="G1165" s="359">
        <v>560.94248000000005</v>
      </c>
      <c r="H1165" s="325" t="s">
        <v>153</v>
      </c>
      <c r="I1165" s="326" t="s">
        <v>2373</v>
      </c>
      <c r="J1165" s="130" t="s">
        <v>98</v>
      </c>
      <c r="K1165" s="130" t="s">
        <v>2150</v>
      </c>
      <c r="L1165" s="148" t="s">
        <v>155</v>
      </c>
      <c r="M1165" s="130"/>
      <c r="N1165" s="130"/>
      <c r="O1165" s="130"/>
    </row>
    <row r="1166" spans="1:15" ht="16.5">
      <c r="A1166" s="481">
        <v>45839</v>
      </c>
      <c r="B1166" s="321" t="s">
        <v>2356</v>
      </c>
      <c r="C1166" s="322" t="s">
        <v>175</v>
      </c>
      <c r="D1166" s="323" t="s">
        <v>119</v>
      </c>
      <c r="E1166" s="324">
        <v>1000</v>
      </c>
      <c r="F1166" s="358">
        <f t="shared" si="3"/>
        <v>1.7827139780891614</v>
      </c>
      <c r="G1166" s="359">
        <v>560.94248000000005</v>
      </c>
      <c r="H1166" s="325" t="s">
        <v>153</v>
      </c>
      <c r="I1166" s="326" t="s">
        <v>2373</v>
      </c>
      <c r="J1166" s="130" t="s">
        <v>98</v>
      </c>
      <c r="K1166" s="130" t="s">
        <v>2150</v>
      </c>
      <c r="L1166" s="148" t="s">
        <v>155</v>
      </c>
      <c r="M1166" s="130"/>
      <c r="N1166" s="130"/>
      <c r="O1166" s="130"/>
    </row>
    <row r="1167" spans="1:15" ht="16.5">
      <c r="A1167" s="481">
        <v>45840</v>
      </c>
      <c r="B1167" s="321" t="s">
        <v>2355</v>
      </c>
      <c r="C1167" s="322" t="s">
        <v>175</v>
      </c>
      <c r="D1167" s="323" t="s">
        <v>119</v>
      </c>
      <c r="E1167" s="324">
        <v>1000</v>
      </c>
      <c r="F1167" s="358">
        <f t="shared" si="3"/>
        <v>1.7827139780891614</v>
      </c>
      <c r="G1167" s="359">
        <v>560.94248000000005</v>
      </c>
      <c r="H1167" s="325" t="s">
        <v>153</v>
      </c>
      <c r="I1167" s="326" t="s">
        <v>2373</v>
      </c>
      <c r="J1167" s="130" t="s">
        <v>98</v>
      </c>
      <c r="K1167" s="130" t="s">
        <v>2150</v>
      </c>
      <c r="L1167" s="148" t="s">
        <v>155</v>
      </c>
      <c r="M1167" s="130"/>
      <c r="N1167" s="130"/>
      <c r="O1167" s="130"/>
    </row>
    <row r="1168" spans="1:15" ht="16.5">
      <c r="A1168" s="481">
        <v>45840</v>
      </c>
      <c r="B1168" s="321" t="s">
        <v>2356</v>
      </c>
      <c r="C1168" s="322" t="s">
        <v>175</v>
      </c>
      <c r="D1168" s="323" t="s">
        <v>119</v>
      </c>
      <c r="E1168" s="324">
        <v>1000</v>
      </c>
      <c r="F1168" s="358">
        <f t="shared" si="3"/>
        <v>1.7827139780891614</v>
      </c>
      <c r="G1168" s="359">
        <v>560.94248000000005</v>
      </c>
      <c r="H1168" s="325" t="s">
        <v>153</v>
      </c>
      <c r="I1168" s="326" t="s">
        <v>2373</v>
      </c>
      <c r="J1168" s="130" t="s">
        <v>98</v>
      </c>
      <c r="K1168" s="130" t="s">
        <v>2150</v>
      </c>
      <c r="L1168" s="148" t="s">
        <v>155</v>
      </c>
      <c r="M1168" s="130"/>
      <c r="N1168" s="130"/>
      <c r="O1168" s="130"/>
    </row>
    <row r="1169" spans="1:15" ht="16.5">
      <c r="A1169" s="481">
        <v>45840</v>
      </c>
      <c r="B1169" s="482" t="s">
        <v>2389</v>
      </c>
      <c r="C1169" s="482" t="s">
        <v>175</v>
      </c>
      <c r="D1169" s="482" t="s">
        <v>118</v>
      </c>
      <c r="E1169" s="379">
        <v>1000</v>
      </c>
      <c r="F1169" s="358">
        <f t="shared" si="3"/>
        <v>1.7827139780891614</v>
      </c>
      <c r="G1169" s="359">
        <v>560.94248000000005</v>
      </c>
      <c r="H1169" s="482" t="s">
        <v>643</v>
      </c>
      <c r="I1169" s="130" t="s">
        <v>2434</v>
      </c>
      <c r="J1169" s="130" t="s">
        <v>98</v>
      </c>
      <c r="K1169" s="130" t="s">
        <v>2150</v>
      </c>
      <c r="L1169" s="148" t="s">
        <v>155</v>
      </c>
      <c r="M1169" s="130"/>
      <c r="N1169" s="130"/>
      <c r="O1169" s="130"/>
    </row>
    <row r="1170" spans="1:15" ht="16.5">
      <c r="A1170" s="481">
        <v>45840</v>
      </c>
      <c r="B1170" s="482" t="s">
        <v>2390</v>
      </c>
      <c r="C1170" s="482" t="s">
        <v>175</v>
      </c>
      <c r="D1170" s="482" t="s">
        <v>118</v>
      </c>
      <c r="E1170" s="379">
        <v>1000</v>
      </c>
      <c r="F1170" s="358">
        <f t="shared" si="3"/>
        <v>1.7827139780891614</v>
      </c>
      <c r="G1170" s="359">
        <v>560.94248000000005</v>
      </c>
      <c r="H1170" s="482" t="s">
        <v>643</v>
      </c>
      <c r="I1170" s="130" t="s">
        <v>2434</v>
      </c>
      <c r="J1170" s="130" t="s">
        <v>98</v>
      </c>
      <c r="K1170" s="130" t="s">
        <v>2150</v>
      </c>
      <c r="L1170" s="148" t="s">
        <v>155</v>
      </c>
      <c r="M1170" s="130"/>
      <c r="N1170" s="130"/>
      <c r="O1170" s="130"/>
    </row>
    <row r="1171" spans="1:15" ht="16.5">
      <c r="A1171" s="481">
        <v>45840</v>
      </c>
      <c r="B1171" s="482" t="s">
        <v>2654</v>
      </c>
      <c r="C1171" s="482" t="s">
        <v>317</v>
      </c>
      <c r="D1171" s="482" t="s">
        <v>118</v>
      </c>
      <c r="E1171" s="379">
        <v>20000</v>
      </c>
      <c r="F1171" s="358">
        <f t="shared" si="3"/>
        <v>35.654279561783227</v>
      </c>
      <c r="G1171" s="359">
        <v>560.94248000000005</v>
      </c>
      <c r="H1171" s="266" t="s">
        <v>643</v>
      </c>
      <c r="I1171" s="132" t="s">
        <v>2435</v>
      </c>
      <c r="J1171" s="130" t="s">
        <v>98</v>
      </c>
      <c r="K1171" s="130" t="s">
        <v>2150</v>
      </c>
      <c r="L1171" s="148" t="s">
        <v>155</v>
      </c>
      <c r="M1171" s="148"/>
      <c r="N1171" s="148"/>
      <c r="O1171" s="130"/>
    </row>
    <row r="1172" spans="1:15" ht="16.5">
      <c r="A1172" s="481">
        <v>45841</v>
      </c>
      <c r="B1172" s="321" t="s">
        <v>2355</v>
      </c>
      <c r="C1172" s="322" t="s">
        <v>175</v>
      </c>
      <c r="D1172" s="323" t="s">
        <v>119</v>
      </c>
      <c r="E1172" s="324">
        <v>1000</v>
      </c>
      <c r="F1172" s="358">
        <f t="shared" si="3"/>
        <v>1.7827139780891614</v>
      </c>
      <c r="G1172" s="359">
        <v>560.94248000000005</v>
      </c>
      <c r="H1172" s="325" t="s">
        <v>153</v>
      </c>
      <c r="I1172" s="326" t="s">
        <v>2373</v>
      </c>
      <c r="J1172" s="130" t="s">
        <v>98</v>
      </c>
      <c r="K1172" s="130" t="s">
        <v>2150</v>
      </c>
      <c r="L1172" s="148" t="s">
        <v>155</v>
      </c>
      <c r="M1172" s="130"/>
      <c r="N1172" s="130"/>
      <c r="O1172" s="130"/>
    </row>
    <row r="1173" spans="1:15" ht="16.5">
      <c r="A1173" s="481">
        <v>45841</v>
      </c>
      <c r="B1173" s="321" t="s">
        <v>2356</v>
      </c>
      <c r="C1173" s="322" t="s">
        <v>175</v>
      </c>
      <c r="D1173" s="323" t="s">
        <v>119</v>
      </c>
      <c r="E1173" s="324">
        <v>1000</v>
      </c>
      <c r="F1173" s="358">
        <f t="shared" si="3"/>
        <v>1.7827139780891614</v>
      </c>
      <c r="G1173" s="359">
        <v>560.94248000000005</v>
      </c>
      <c r="H1173" s="325" t="s">
        <v>153</v>
      </c>
      <c r="I1173" s="326" t="s">
        <v>2373</v>
      </c>
      <c r="J1173" s="130" t="s">
        <v>98</v>
      </c>
      <c r="K1173" s="130" t="s">
        <v>2150</v>
      </c>
      <c r="L1173" s="148" t="s">
        <v>155</v>
      </c>
      <c r="M1173" s="130"/>
      <c r="N1173" s="130"/>
      <c r="O1173" s="130"/>
    </row>
    <row r="1174" spans="1:15" ht="16.5">
      <c r="A1174" s="481">
        <v>45841</v>
      </c>
      <c r="B1174" s="482" t="s">
        <v>2392</v>
      </c>
      <c r="C1174" s="482" t="s">
        <v>175</v>
      </c>
      <c r="D1174" s="482" t="s">
        <v>118</v>
      </c>
      <c r="E1174" s="379">
        <v>1000</v>
      </c>
      <c r="F1174" s="358">
        <f t="shared" si="3"/>
        <v>1.7827139780891614</v>
      </c>
      <c r="G1174" s="359">
        <v>560.94248000000005</v>
      </c>
      <c r="H1174" s="482" t="s">
        <v>643</v>
      </c>
      <c r="I1174" s="130" t="s">
        <v>2434</v>
      </c>
      <c r="J1174" s="130" t="s">
        <v>98</v>
      </c>
      <c r="K1174" s="130" t="s">
        <v>2150</v>
      </c>
      <c r="L1174" s="148" t="s">
        <v>155</v>
      </c>
      <c r="M1174" s="130"/>
      <c r="N1174" s="130"/>
      <c r="O1174" s="130"/>
    </row>
    <row r="1175" spans="1:15" ht="16.5">
      <c r="A1175" s="481">
        <v>45841</v>
      </c>
      <c r="B1175" s="482" t="s">
        <v>2393</v>
      </c>
      <c r="C1175" s="482" t="s">
        <v>175</v>
      </c>
      <c r="D1175" s="482" t="s">
        <v>118</v>
      </c>
      <c r="E1175" s="379">
        <v>1000</v>
      </c>
      <c r="F1175" s="358">
        <f t="shared" si="3"/>
        <v>1.7827139780891614</v>
      </c>
      <c r="G1175" s="359">
        <v>560.94248000000005</v>
      </c>
      <c r="H1175" s="482" t="s">
        <v>643</v>
      </c>
      <c r="I1175" s="130" t="s">
        <v>2434</v>
      </c>
      <c r="J1175" s="130" t="s">
        <v>98</v>
      </c>
      <c r="K1175" s="130" t="s">
        <v>2150</v>
      </c>
      <c r="L1175" s="148" t="s">
        <v>155</v>
      </c>
      <c r="M1175" s="130"/>
      <c r="N1175" s="130"/>
      <c r="O1175" s="130"/>
    </row>
    <row r="1176" spans="1:15" ht="16.5">
      <c r="A1176" s="481">
        <v>45841</v>
      </c>
      <c r="B1176" s="185" t="s">
        <v>2468</v>
      </c>
      <c r="C1176" s="185" t="s">
        <v>175</v>
      </c>
      <c r="D1176" s="185" t="s">
        <v>117</v>
      </c>
      <c r="E1176" s="379">
        <v>1000</v>
      </c>
      <c r="F1176" s="358">
        <f t="shared" si="3"/>
        <v>1.7827139780891614</v>
      </c>
      <c r="G1176" s="359">
        <v>560.94248000000005</v>
      </c>
      <c r="H1176" s="185" t="s">
        <v>196</v>
      </c>
      <c r="I1176" s="185" t="s">
        <v>2480</v>
      </c>
      <c r="J1176" s="130" t="s">
        <v>98</v>
      </c>
      <c r="K1176" s="130" t="s">
        <v>2150</v>
      </c>
      <c r="L1176" s="148" t="s">
        <v>155</v>
      </c>
      <c r="M1176" s="130"/>
      <c r="N1176" s="130"/>
      <c r="O1176" s="130"/>
    </row>
    <row r="1177" spans="1:15" ht="16.5">
      <c r="A1177" s="481">
        <v>45841</v>
      </c>
      <c r="B1177" s="185" t="s">
        <v>2469</v>
      </c>
      <c r="C1177" s="185" t="s">
        <v>175</v>
      </c>
      <c r="D1177" s="185" t="s">
        <v>117</v>
      </c>
      <c r="E1177" s="379">
        <v>1000</v>
      </c>
      <c r="F1177" s="358">
        <f t="shared" si="3"/>
        <v>1.7827139780891614</v>
      </c>
      <c r="G1177" s="359">
        <v>560.94248000000005</v>
      </c>
      <c r="H1177" s="185" t="s">
        <v>196</v>
      </c>
      <c r="I1177" s="185" t="s">
        <v>2480</v>
      </c>
      <c r="J1177" s="130" t="s">
        <v>98</v>
      </c>
      <c r="K1177" s="130" t="s">
        <v>2150</v>
      </c>
      <c r="L1177" s="148" t="s">
        <v>155</v>
      </c>
      <c r="M1177" s="130"/>
      <c r="N1177" s="130"/>
      <c r="O1177" s="130"/>
    </row>
    <row r="1178" spans="1:15" ht="16.5">
      <c r="A1178" s="481">
        <v>45841</v>
      </c>
      <c r="B1178" s="185" t="s">
        <v>2470</v>
      </c>
      <c r="C1178" s="185" t="s">
        <v>175</v>
      </c>
      <c r="D1178" s="185" t="s">
        <v>117</v>
      </c>
      <c r="E1178" s="379">
        <v>1000</v>
      </c>
      <c r="F1178" s="358">
        <f t="shared" si="3"/>
        <v>1.7827139780891614</v>
      </c>
      <c r="G1178" s="359">
        <v>560.94248000000005</v>
      </c>
      <c r="H1178" s="185" t="s">
        <v>196</v>
      </c>
      <c r="I1178" s="185" t="s">
        <v>2480</v>
      </c>
      <c r="J1178" s="130" t="s">
        <v>98</v>
      </c>
      <c r="K1178" s="130" t="s">
        <v>2150</v>
      </c>
      <c r="L1178" s="148" t="s">
        <v>155</v>
      </c>
      <c r="M1178" s="130"/>
      <c r="N1178" s="130"/>
      <c r="O1178" s="130"/>
    </row>
    <row r="1179" spans="1:15" ht="16.5">
      <c r="A1179" s="481">
        <v>45841</v>
      </c>
      <c r="B1179" s="185" t="s">
        <v>2471</v>
      </c>
      <c r="C1179" s="185" t="s">
        <v>175</v>
      </c>
      <c r="D1179" s="185" t="s">
        <v>117</v>
      </c>
      <c r="E1179" s="379">
        <v>1000</v>
      </c>
      <c r="F1179" s="358">
        <f t="shared" si="3"/>
        <v>1.7827139780891614</v>
      </c>
      <c r="G1179" s="359">
        <v>560.94248000000005</v>
      </c>
      <c r="H1179" s="185" t="s">
        <v>196</v>
      </c>
      <c r="I1179" s="185" t="s">
        <v>2480</v>
      </c>
      <c r="J1179" s="130" t="s">
        <v>98</v>
      </c>
      <c r="K1179" s="130" t="s">
        <v>2150</v>
      </c>
      <c r="L1179" s="148" t="s">
        <v>155</v>
      </c>
      <c r="M1179" s="130"/>
      <c r="N1179" s="130"/>
      <c r="O1179" s="130"/>
    </row>
    <row r="1180" spans="1:15" ht="16.5">
      <c r="A1180" s="481">
        <v>45841</v>
      </c>
      <c r="B1180" s="183" t="s">
        <v>2539</v>
      </c>
      <c r="C1180" s="183" t="s">
        <v>123</v>
      </c>
      <c r="D1180" s="183" t="s">
        <v>117</v>
      </c>
      <c r="E1180" s="478">
        <v>300000</v>
      </c>
      <c r="F1180" s="358">
        <f t="shared" si="3"/>
        <v>534.81419342674849</v>
      </c>
      <c r="G1180" s="359">
        <v>560.94248000000005</v>
      </c>
      <c r="H1180" s="482" t="s">
        <v>148</v>
      </c>
      <c r="I1180" s="130" t="s">
        <v>2540</v>
      </c>
      <c r="J1180" s="130" t="s">
        <v>98</v>
      </c>
      <c r="K1180" s="130" t="s">
        <v>2150</v>
      </c>
      <c r="L1180" s="148" t="s">
        <v>155</v>
      </c>
      <c r="M1180" s="130"/>
      <c r="N1180" s="130"/>
      <c r="O1180" s="130"/>
    </row>
    <row r="1181" spans="1:15" ht="16.5">
      <c r="A1181" s="481">
        <v>45841</v>
      </c>
      <c r="B1181" s="404" t="s">
        <v>2541</v>
      </c>
      <c r="C1181" s="183" t="s">
        <v>123</v>
      </c>
      <c r="D1181" s="183" t="s">
        <v>117</v>
      </c>
      <c r="E1181" s="478">
        <v>300000</v>
      </c>
      <c r="F1181" s="358">
        <f t="shared" si="3"/>
        <v>534.81419342674849</v>
      </c>
      <c r="G1181" s="359">
        <v>560.94248000000005</v>
      </c>
      <c r="H1181" s="482" t="s">
        <v>148</v>
      </c>
      <c r="I1181" s="130" t="s">
        <v>2542</v>
      </c>
      <c r="J1181" s="130" t="s">
        <v>98</v>
      </c>
      <c r="K1181" s="130" t="s">
        <v>2150</v>
      </c>
      <c r="L1181" s="148" t="s">
        <v>155</v>
      </c>
      <c r="M1181" s="130"/>
      <c r="N1181" s="130"/>
      <c r="O1181" s="130"/>
    </row>
    <row r="1182" spans="1:15" ht="16.5">
      <c r="A1182" s="481">
        <v>45841</v>
      </c>
      <c r="B1182" s="183" t="s">
        <v>2543</v>
      </c>
      <c r="C1182" s="183" t="s">
        <v>317</v>
      </c>
      <c r="D1182" s="483" t="s">
        <v>118</v>
      </c>
      <c r="E1182" s="478">
        <v>260000</v>
      </c>
      <c r="F1182" s="358">
        <f t="shared" si="3"/>
        <v>463.50563430318198</v>
      </c>
      <c r="G1182" s="359">
        <v>560.94248000000005</v>
      </c>
      <c r="H1182" s="482" t="s">
        <v>148</v>
      </c>
      <c r="I1182" s="130" t="s">
        <v>2544</v>
      </c>
      <c r="J1182" s="130" t="s">
        <v>98</v>
      </c>
      <c r="K1182" s="130" t="s">
        <v>2150</v>
      </c>
      <c r="L1182" s="148" t="s">
        <v>155</v>
      </c>
      <c r="M1182" s="130"/>
      <c r="N1182" s="130"/>
      <c r="O1182" s="130"/>
    </row>
    <row r="1183" spans="1:15" ht="16.5">
      <c r="A1183" s="481">
        <v>45842</v>
      </c>
      <c r="B1183" s="321" t="s">
        <v>2355</v>
      </c>
      <c r="C1183" s="322" t="s">
        <v>175</v>
      </c>
      <c r="D1183" s="323" t="s">
        <v>119</v>
      </c>
      <c r="E1183" s="324">
        <v>1000</v>
      </c>
      <c r="F1183" s="358">
        <f t="shared" si="3"/>
        <v>1.7827139780891614</v>
      </c>
      <c r="G1183" s="359">
        <v>560.94248000000005</v>
      </c>
      <c r="H1183" s="325" t="s">
        <v>153</v>
      </c>
      <c r="I1183" s="326" t="s">
        <v>2373</v>
      </c>
      <c r="J1183" s="130" t="s">
        <v>98</v>
      </c>
      <c r="K1183" s="130" t="s">
        <v>2150</v>
      </c>
      <c r="L1183" s="148" t="s">
        <v>155</v>
      </c>
      <c r="M1183" s="130"/>
      <c r="N1183" s="130"/>
      <c r="O1183" s="130"/>
    </row>
    <row r="1184" spans="1:15" ht="16.5">
      <c r="A1184" s="481">
        <v>45842</v>
      </c>
      <c r="B1184" s="321" t="s">
        <v>2356</v>
      </c>
      <c r="C1184" s="322" t="s">
        <v>175</v>
      </c>
      <c r="D1184" s="323" t="s">
        <v>119</v>
      </c>
      <c r="E1184" s="324">
        <v>1000</v>
      </c>
      <c r="F1184" s="358">
        <f t="shared" si="3"/>
        <v>1.7827139780891614</v>
      </c>
      <c r="G1184" s="359">
        <v>560.94248000000005</v>
      </c>
      <c r="H1184" s="325" t="s">
        <v>153</v>
      </c>
      <c r="I1184" s="326" t="s">
        <v>2373</v>
      </c>
      <c r="J1184" s="130" t="s">
        <v>98</v>
      </c>
      <c r="K1184" s="130" t="s">
        <v>2150</v>
      </c>
      <c r="L1184" s="148" t="s">
        <v>155</v>
      </c>
      <c r="M1184" s="130"/>
      <c r="N1184" s="130"/>
      <c r="O1184" s="130"/>
    </row>
    <row r="1185" spans="1:15" ht="16.5">
      <c r="A1185" s="481">
        <v>45843</v>
      </c>
      <c r="B1185" s="321" t="s">
        <v>2355</v>
      </c>
      <c r="C1185" s="322" t="s">
        <v>175</v>
      </c>
      <c r="D1185" s="323" t="s">
        <v>119</v>
      </c>
      <c r="E1185" s="324">
        <v>1000</v>
      </c>
      <c r="F1185" s="358">
        <f t="shared" si="3"/>
        <v>1.7827139780891614</v>
      </c>
      <c r="G1185" s="359">
        <v>560.94248000000005</v>
      </c>
      <c r="H1185" s="325" t="s">
        <v>153</v>
      </c>
      <c r="I1185" s="326" t="s">
        <v>2373</v>
      </c>
      <c r="J1185" s="130" t="s">
        <v>98</v>
      </c>
      <c r="K1185" s="130" t="s">
        <v>2150</v>
      </c>
      <c r="L1185" s="148" t="s">
        <v>155</v>
      </c>
      <c r="M1185" s="130"/>
      <c r="N1185" s="130"/>
      <c r="O1185" s="130"/>
    </row>
    <row r="1186" spans="1:15" ht="16.5">
      <c r="A1186" s="481">
        <v>45843</v>
      </c>
      <c r="B1186" s="321" t="s">
        <v>2356</v>
      </c>
      <c r="C1186" s="322" t="s">
        <v>175</v>
      </c>
      <c r="D1186" s="323" t="s">
        <v>119</v>
      </c>
      <c r="E1186" s="324">
        <v>1000</v>
      </c>
      <c r="F1186" s="358">
        <f t="shared" si="3"/>
        <v>1.7827139780891614</v>
      </c>
      <c r="G1186" s="359">
        <v>560.94248000000005</v>
      </c>
      <c r="H1186" s="325" t="s">
        <v>153</v>
      </c>
      <c r="I1186" s="326" t="s">
        <v>2373</v>
      </c>
      <c r="J1186" s="130" t="s">
        <v>98</v>
      </c>
      <c r="K1186" s="130" t="s">
        <v>2150</v>
      </c>
      <c r="L1186" s="148" t="s">
        <v>155</v>
      </c>
      <c r="M1186" s="130"/>
      <c r="N1186" s="130"/>
      <c r="O1186" s="130"/>
    </row>
    <row r="1187" spans="1:15" ht="16.5">
      <c r="A1187" s="481">
        <v>45844</v>
      </c>
      <c r="B1187" s="321" t="s">
        <v>2355</v>
      </c>
      <c r="C1187" s="322" t="s">
        <v>175</v>
      </c>
      <c r="D1187" s="323" t="s">
        <v>119</v>
      </c>
      <c r="E1187" s="324">
        <v>1000</v>
      </c>
      <c r="F1187" s="358">
        <f t="shared" si="3"/>
        <v>1.7827139780891614</v>
      </c>
      <c r="G1187" s="359">
        <v>560.94248000000005</v>
      </c>
      <c r="H1187" s="325" t="s">
        <v>153</v>
      </c>
      <c r="I1187" s="326" t="s">
        <v>2373</v>
      </c>
      <c r="J1187" s="130" t="s">
        <v>98</v>
      </c>
      <c r="K1187" s="130" t="s">
        <v>2150</v>
      </c>
      <c r="L1187" s="148" t="s">
        <v>155</v>
      </c>
      <c r="M1187" s="130"/>
      <c r="N1187" s="130"/>
      <c r="O1187" s="130"/>
    </row>
    <row r="1188" spans="1:15" ht="16.5">
      <c r="A1188" s="481">
        <v>45844</v>
      </c>
      <c r="B1188" s="321" t="s">
        <v>2356</v>
      </c>
      <c r="C1188" s="322" t="s">
        <v>175</v>
      </c>
      <c r="D1188" s="323" t="s">
        <v>119</v>
      </c>
      <c r="E1188" s="324">
        <v>1000</v>
      </c>
      <c r="F1188" s="358">
        <f t="shared" si="3"/>
        <v>1.7827139780891614</v>
      </c>
      <c r="G1188" s="359">
        <v>560.94248000000005</v>
      </c>
      <c r="H1188" s="325" t="s">
        <v>153</v>
      </c>
      <c r="I1188" s="326" t="s">
        <v>2373</v>
      </c>
      <c r="J1188" s="130" t="s">
        <v>98</v>
      </c>
      <c r="K1188" s="130" t="s">
        <v>2150</v>
      </c>
      <c r="L1188" s="148" t="s">
        <v>155</v>
      </c>
      <c r="M1188" s="130"/>
      <c r="N1188" s="130"/>
      <c r="O1188" s="130"/>
    </row>
    <row r="1189" spans="1:15" ht="16.5">
      <c r="A1189" s="481">
        <v>45845</v>
      </c>
      <c r="B1189" s="321" t="s">
        <v>2355</v>
      </c>
      <c r="C1189" s="322" t="s">
        <v>175</v>
      </c>
      <c r="D1189" s="323" t="s">
        <v>119</v>
      </c>
      <c r="E1189" s="324">
        <v>1000</v>
      </c>
      <c r="F1189" s="358">
        <f t="shared" si="3"/>
        <v>1.7827139780891614</v>
      </c>
      <c r="G1189" s="359">
        <v>560.94248000000005</v>
      </c>
      <c r="H1189" s="325" t="s">
        <v>153</v>
      </c>
      <c r="I1189" s="326" t="s">
        <v>2373</v>
      </c>
      <c r="J1189" s="130" t="s">
        <v>98</v>
      </c>
      <c r="K1189" s="130" t="s">
        <v>2150</v>
      </c>
      <c r="L1189" s="148" t="s">
        <v>155</v>
      </c>
      <c r="M1189" s="130"/>
      <c r="N1189" s="130"/>
      <c r="O1189" s="130"/>
    </row>
    <row r="1190" spans="1:15" ht="16.5">
      <c r="A1190" s="481">
        <v>45845</v>
      </c>
      <c r="B1190" s="321" t="s">
        <v>2356</v>
      </c>
      <c r="C1190" s="322" t="s">
        <v>175</v>
      </c>
      <c r="D1190" s="323" t="s">
        <v>119</v>
      </c>
      <c r="E1190" s="324">
        <v>1000</v>
      </c>
      <c r="F1190" s="358">
        <f t="shared" si="3"/>
        <v>1.7827139780891614</v>
      </c>
      <c r="G1190" s="359">
        <v>560.94248000000005</v>
      </c>
      <c r="H1190" s="325" t="s">
        <v>153</v>
      </c>
      <c r="I1190" s="326" t="s">
        <v>2373</v>
      </c>
      <c r="J1190" s="130" t="s">
        <v>98</v>
      </c>
      <c r="K1190" s="130" t="s">
        <v>2150</v>
      </c>
      <c r="L1190" s="148" t="s">
        <v>155</v>
      </c>
      <c r="M1190" s="130"/>
      <c r="N1190" s="130"/>
      <c r="O1190" s="130"/>
    </row>
    <row r="1191" spans="1:15" ht="16.5">
      <c r="A1191" s="481">
        <v>45846</v>
      </c>
      <c r="B1191" s="321" t="s">
        <v>2357</v>
      </c>
      <c r="C1191" s="322" t="s">
        <v>127</v>
      </c>
      <c r="D1191" s="323" t="s">
        <v>119</v>
      </c>
      <c r="E1191" s="321">
        <v>174625</v>
      </c>
      <c r="F1191" s="358">
        <f t="shared" si="3"/>
        <v>311.30642842381985</v>
      </c>
      <c r="G1191" s="359">
        <v>560.94248000000005</v>
      </c>
      <c r="H1191" s="325" t="s">
        <v>153</v>
      </c>
      <c r="I1191" s="321" t="s">
        <v>2374</v>
      </c>
      <c r="J1191" s="130" t="s">
        <v>98</v>
      </c>
      <c r="K1191" s="130" t="s">
        <v>2150</v>
      </c>
      <c r="L1191" s="148" t="s">
        <v>155</v>
      </c>
      <c r="M1191" s="130"/>
      <c r="N1191" s="130"/>
      <c r="O1191" s="130"/>
    </row>
    <row r="1192" spans="1:15" ht="16.5">
      <c r="A1192" s="481">
        <v>45846</v>
      </c>
      <c r="B1192" s="321" t="s">
        <v>2358</v>
      </c>
      <c r="C1192" s="322" t="s">
        <v>175</v>
      </c>
      <c r="D1192" s="323" t="s">
        <v>119</v>
      </c>
      <c r="E1192" s="321">
        <v>1000</v>
      </c>
      <c r="F1192" s="358">
        <f t="shared" si="3"/>
        <v>1.7827139780891614</v>
      </c>
      <c r="G1192" s="359">
        <v>560.94248000000005</v>
      </c>
      <c r="H1192" s="325" t="s">
        <v>153</v>
      </c>
      <c r="I1192" s="326" t="s">
        <v>2373</v>
      </c>
      <c r="J1192" s="130" t="s">
        <v>98</v>
      </c>
      <c r="K1192" s="130" t="s">
        <v>2150</v>
      </c>
      <c r="L1192" s="148" t="s">
        <v>155</v>
      </c>
      <c r="M1192" s="130"/>
      <c r="N1192" s="130"/>
      <c r="O1192" s="130"/>
    </row>
    <row r="1193" spans="1:15" ht="16.5">
      <c r="A1193" s="481">
        <v>45846</v>
      </c>
      <c r="B1193" s="321" t="s">
        <v>2356</v>
      </c>
      <c r="C1193" s="322" t="s">
        <v>175</v>
      </c>
      <c r="D1193" s="323" t="s">
        <v>119</v>
      </c>
      <c r="E1193" s="321">
        <v>1000</v>
      </c>
      <c r="F1193" s="358">
        <f t="shared" si="3"/>
        <v>1.7827139780891614</v>
      </c>
      <c r="G1193" s="359">
        <v>560.94248000000005</v>
      </c>
      <c r="H1193" s="325" t="s">
        <v>153</v>
      </c>
      <c r="I1193" s="326" t="s">
        <v>2373</v>
      </c>
      <c r="J1193" s="130" t="s">
        <v>98</v>
      </c>
      <c r="K1193" s="130" t="s">
        <v>2150</v>
      </c>
      <c r="L1193" s="148" t="s">
        <v>155</v>
      </c>
      <c r="M1193" s="130"/>
      <c r="N1193" s="130"/>
      <c r="O1193" s="130"/>
    </row>
    <row r="1194" spans="1:15" ht="16.5">
      <c r="A1194" s="481">
        <v>45846</v>
      </c>
      <c r="B1194" s="185" t="s">
        <v>2472</v>
      </c>
      <c r="C1194" s="185" t="s">
        <v>172</v>
      </c>
      <c r="D1194" s="482" t="s">
        <v>118</v>
      </c>
      <c r="E1194" s="379">
        <v>2000</v>
      </c>
      <c r="F1194" s="358">
        <f t="shared" si="3"/>
        <v>3.5654279561783229</v>
      </c>
      <c r="G1194" s="359">
        <v>560.94248000000005</v>
      </c>
      <c r="H1194" s="266" t="s">
        <v>196</v>
      </c>
      <c r="I1194" s="266" t="s">
        <v>2481</v>
      </c>
      <c r="J1194" s="130" t="s">
        <v>98</v>
      </c>
      <c r="K1194" s="130" t="s">
        <v>2150</v>
      </c>
      <c r="L1194" s="148" t="s">
        <v>155</v>
      </c>
      <c r="M1194" s="130"/>
      <c r="N1194" s="130"/>
      <c r="O1194" s="130"/>
    </row>
    <row r="1195" spans="1:15" ht="16.5">
      <c r="A1195" s="481">
        <v>45847</v>
      </c>
      <c r="B1195" s="321" t="s">
        <v>2359</v>
      </c>
      <c r="C1195" s="322" t="s">
        <v>175</v>
      </c>
      <c r="D1195" s="323" t="s">
        <v>119</v>
      </c>
      <c r="E1195" s="321">
        <v>1000</v>
      </c>
      <c r="F1195" s="358">
        <f t="shared" si="3"/>
        <v>1.7827139780891614</v>
      </c>
      <c r="G1195" s="359">
        <v>560.94248000000005</v>
      </c>
      <c r="H1195" s="325" t="s">
        <v>153</v>
      </c>
      <c r="I1195" s="326" t="s">
        <v>2373</v>
      </c>
      <c r="J1195" s="130" t="s">
        <v>98</v>
      </c>
      <c r="K1195" s="130" t="s">
        <v>2150</v>
      </c>
      <c r="L1195" s="148" t="s">
        <v>155</v>
      </c>
      <c r="M1195" s="130"/>
      <c r="N1195" s="130"/>
      <c r="O1195" s="130"/>
    </row>
    <row r="1196" spans="1:15" ht="16.5">
      <c r="A1196" s="481">
        <v>45847</v>
      </c>
      <c r="B1196" s="321" t="s">
        <v>2360</v>
      </c>
      <c r="C1196" s="322" t="s">
        <v>175</v>
      </c>
      <c r="D1196" s="323" t="s">
        <v>119</v>
      </c>
      <c r="E1196" s="321">
        <v>1000</v>
      </c>
      <c r="F1196" s="358">
        <f t="shared" si="3"/>
        <v>1.7827139780891614</v>
      </c>
      <c r="G1196" s="359">
        <v>560.94248000000005</v>
      </c>
      <c r="H1196" s="325" t="s">
        <v>153</v>
      </c>
      <c r="I1196" s="326" t="s">
        <v>2373</v>
      </c>
      <c r="J1196" s="130" t="s">
        <v>98</v>
      </c>
      <c r="K1196" s="130" t="s">
        <v>2150</v>
      </c>
      <c r="L1196" s="148" t="s">
        <v>155</v>
      </c>
      <c r="M1196" s="130"/>
      <c r="N1196" s="130"/>
      <c r="O1196" s="130"/>
    </row>
    <row r="1197" spans="1:15" ht="16.5">
      <c r="A1197" s="481">
        <v>45847</v>
      </c>
      <c r="B1197" s="321" t="s">
        <v>2356</v>
      </c>
      <c r="C1197" s="322" t="s">
        <v>175</v>
      </c>
      <c r="D1197" s="323" t="s">
        <v>119</v>
      </c>
      <c r="E1197" s="321">
        <v>1000</v>
      </c>
      <c r="F1197" s="358">
        <f t="shared" si="3"/>
        <v>1.7827139780891614</v>
      </c>
      <c r="G1197" s="359">
        <v>560.94248000000005</v>
      </c>
      <c r="H1197" s="325" t="s">
        <v>153</v>
      </c>
      <c r="I1197" s="326" t="s">
        <v>2373</v>
      </c>
      <c r="J1197" s="130" t="s">
        <v>98</v>
      </c>
      <c r="K1197" s="130" t="s">
        <v>2150</v>
      </c>
      <c r="L1197" s="148" t="s">
        <v>155</v>
      </c>
      <c r="M1197" s="130"/>
      <c r="N1197" s="130"/>
      <c r="O1197" s="130"/>
    </row>
    <row r="1198" spans="1:15" ht="16.5">
      <c r="A1198" s="481">
        <v>45847</v>
      </c>
      <c r="B1198" s="484" t="s">
        <v>2665</v>
      </c>
      <c r="C1198" s="485" t="s">
        <v>175</v>
      </c>
      <c r="D1198" s="484" t="s">
        <v>117</v>
      </c>
      <c r="E1198" s="485">
        <v>1000</v>
      </c>
      <c r="F1198" s="358">
        <f t="shared" si="3"/>
        <v>1.7827139780891614</v>
      </c>
      <c r="G1198" s="359">
        <v>560.94248000000005</v>
      </c>
      <c r="H1198" s="486" t="s">
        <v>203</v>
      </c>
      <c r="I1198" s="335" t="s">
        <v>2387</v>
      </c>
      <c r="J1198" s="130" t="s">
        <v>98</v>
      </c>
      <c r="K1198" s="130" t="s">
        <v>2150</v>
      </c>
      <c r="L1198" s="148" t="s">
        <v>155</v>
      </c>
      <c r="M1198" s="130"/>
      <c r="N1198" s="130"/>
      <c r="O1198" s="130"/>
    </row>
    <row r="1199" spans="1:15" ht="16.5">
      <c r="A1199" s="481">
        <v>45847</v>
      </c>
      <c r="B1199" s="484" t="s">
        <v>2378</v>
      </c>
      <c r="C1199" s="485" t="s">
        <v>175</v>
      </c>
      <c r="D1199" s="484" t="s">
        <v>117</v>
      </c>
      <c r="E1199" s="485">
        <v>1000</v>
      </c>
      <c r="F1199" s="358">
        <f t="shared" si="3"/>
        <v>1.7827139780891614</v>
      </c>
      <c r="G1199" s="359">
        <v>560.94248000000005</v>
      </c>
      <c r="H1199" s="486" t="s">
        <v>203</v>
      </c>
      <c r="I1199" s="335" t="s">
        <v>2387</v>
      </c>
      <c r="J1199" s="130" t="s">
        <v>98</v>
      </c>
      <c r="K1199" s="130" t="s">
        <v>2150</v>
      </c>
      <c r="L1199" s="148" t="s">
        <v>155</v>
      </c>
      <c r="M1199" s="130"/>
      <c r="N1199" s="130"/>
      <c r="O1199" s="130"/>
    </row>
    <row r="1200" spans="1:15" ht="16.5">
      <c r="A1200" s="481">
        <v>45848</v>
      </c>
      <c r="B1200" s="321" t="s">
        <v>2355</v>
      </c>
      <c r="C1200" s="322" t="s">
        <v>175</v>
      </c>
      <c r="D1200" s="323" t="s">
        <v>119</v>
      </c>
      <c r="E1200" s="321">
        <v>1000</v>
      </c>
      <c r="F1200" s="358">
        <f t="shared" si="3"/>
        <v>1.7827139780891614</v>
      </c>
      <c r="G1200" s="359">
        <v>560.94248000000005</v>
      </c>
      <c r="H1200" s="325" t="s">
        <v>153</v>
      </c>
      <c r="I1200" s="326" t="s">
        <v>2373</v>
      </c>
      <c r="J1200" s="130" t="s">
        <v>98</v>
      </c>
      <c r="K1200" s="130" t="s">
        <v>2150</v>
      </c>
      <c r="L1200" s="148" t="s">
        <v>155</v>
      </c>
      <c r="M1200" s="130"/>
      <c r="N1200" s="130"/>
      <c r="O1200" s="130"/>
    </row>
    <row r="1201" spans="1:15" ht="16.5">
      <c r="A1201" s="481">
        <v>45848</v>
      </c>
      <c r="B1201" s="321" t="s">
        <v>2356</v>
      </c>
      <c r="C1201" s="322" t="s">
        <v>175</v>
      </c>
      <c r="D1201" s="323" t="s">
        <v>119</v>
      </c>
      <c r="E1201" s="321">
        <v>1000</v>
      </c>
      <c r="F1201" s="358">
        <f t="shared" si="3"/>
        <v>1.7827139780891614</v>
      </c>
      <c r="G1201" s="359">
        <v>560.94248000000005</v>
      </c>
      <c r="H1201" s="325" t="s">
        <v>153</v>
      </c>
      <c r="I1201" s="326" t="s">
        <v>2373</v>
      </c>
      <c r="J1201" s="130" t="s">
        <v>98</v>
      </c>
      <c r="K1201" s="130" t="s">
        <v>2150</v>
      </c>
      <c r="L1201" s="148" t="s">
        <v>155</v>
      </c>
      <c r="M1201" s="130"/>
      <c r="N1201" s="130"/>
      <c r="O1201" s="130"/>
    </row>
    <row r="1202" spans="1:15" ht="16.5">
      <c r="A1202" s="481">
        <v>45848</v>
      </c>
      <c r="B1202" s="482" t="s">
        <v>2655</v>
      </c>
      <c r="C1202" s="482" t="s">
        <v>1737</v>
      </c>
      <c r="D1202" s="482" t="s">
        <v>121</v>
      </c>
      <c r="E1202" s="379">
        <v>-60000</v>
      </c>
      <c r="F1202" s="358">
        <f t="shared" si="3"/>
        <v>-106.96283868534969</v>
      </c>
      <c r="G1202" s="359">
        <v>560.94248000000005</v>
      </c>
      <c r="H1202" s="266" t="s">
        <v>643</v>
      </c>
      <c r="I1202" s="132" t="s">
        <v>2436</v>
      </c>
      <c r="J1202" s="130" t="s">
        <v>98</v>
      </c>
      <c r="K1202" s="130" t="s">
        <v>2150</v>
      </c>
      <c r="L1202" s="148" t="s">
        <v>155</v>
      </c>
      <c r="M1202" s="130"/>
      <c r="N1202" s="130"/>
      <c r="O1202" s="130"/>
    </row>
    <row r="1203" spans="1:15" ht="16.5">
      <c r="A1203" s="481">
        <v>45849</v>
      </c>
      <c r="B1203" s="321" t="s">
        <v>2355</v>
      </c>
      <c r="C1203" s="322" t="s">
        <v>175</v>
      </c>
      <c r="D1203" s="323" t="s">
        <v>119</v>
      </c>
      <c r="E1203" s="321">
        <v>1000</v>
      </c>
      <c r="F1203" s="358">
        <f t="shared" si="3"/>
        <v>1.7827139780891614</v>
      </c>
      <c r="G1203" s="359">
        <v>560.94248000000005</v>
      </c>
      <c r="H1203" s="325" t="s">
        <v>153</v>
      </c>
      <c r="I1203" s="326" t="s">
        <v>2373</v>
      </c>
      <c r="J1203" s="130" t="s">
        <v>98</v>
      </c>
      <c r="K1203" s="130" t="s">
        <v>2150</v>
      </c>
      <c r="L1203" s="148" t="s">
        <v>155</v>
      </c>
      <c r="M1203" s="130"/>
      <c r="N1203" s="130"/>
      <c r="O1203" s="130"/>
    </row>
    <row r="1204" spans="1:15" ht="16.5">
      <c r="A1204" s="481">
        <v>45849</v>
      </c>
      <c r="B1204" s="321" t="s">
        <v>2356</v>
      </c>
      <c r="C1204" s="322" t="s">
        <v>175</v>
      </c>
      <c r="D1204" s="323" t="s">
        <v>119</v>
      </c>
      <c r="E1204" s="321">
        <v>1000</v>
      </c>
      <c r="F1204" s="358">
        <f t="shared" si="3"/>
        <v>1.7827139780891614</v>
      </c>
      <c r="G1204" s="359">
        <v>560.94248000000005</v>
      </c>
      <c r="H1204" s="325" t="s">
        <v>153</v>
      </c>
      <c r="I1204" s="326" t="s">
        <v>2373</v>
      </c>
      <c r="J1204" s="130" t="s">
        <v>98</v>
      </c>
      <c r="K1204" s="130" t="s">
        <v>2150</v>
      </c>
      <c r="L1204" s="148" t="s">
        <v>155</v>
      </c>
      <c r="M1204" s="130"/>
      <c r="N1204" s="130"/>
      <c r="O1204" s="130"/>
    </row>
    <row r="1205" spans="1:15" ht="16.5">
      <c r="A1205" s="481">
        <v>45849</v>
      </c>
      <c r="B1205" s="484" t="s">
        <v>2379</v>
      </c>
      <c r="C1205" s="485" t="s">
        <v>175</v>
      </c>
      <c r="D1205" s="484" t="s">
        <v>117</v>
      </c>
      <c r="E1205" s="485">
        <v>1000</v>
      </c>
      <c r="F1205" s="358">
        <f t="shared" si="3"/>
        <v>1.7827139780891614</v>
      </c>
      <c r="G1205" s="359">
        <v>560.94248000000005</v>
      </c>
      <c r="H1205" s="486" t="s">
        <v>203</v>
      </c>
      <c r="I1205" s="335" t="s">
        <v>2387</v>
      </c>
      <c r="J1205" s="130" t="s">
        <v>98</v>
      </c>
      <c r="K1205" s="130" t="s">
        <v>2150</v>
      </c>
      <c r="L1205" s="148" t="s">
        <v>155</v>
      </c>
      <c r="M1205" s="130"/>
      <c r="N1205" s="130"/>
      <c r="O1205" s="130"/>
    </row>
    <row r="1206" spans="1:15" ht="16.5">
      <c r="A1206" s="481">
        <v>45849</v>
      </c>
      <c r="B1206" s="484" t="s">
        <v>2378</v>
      </c>
      <c r="C1206" s="485" t="s">
        <v>175</v>
      </c>
      <c r="D1206" s="484" t="s">
        <v>117</v>
      </c>
      <c r="E1206" s="485">
        <v>1000</v>
      </c>
      <c r="F1206" s="358">
        <f t="shared" si="3"/>
        <v>1.7827139780891614</v>
      </c>
      <c r="G1206" s="359">
        <v>560.94248000000005</v>
      </c>
      <c r="H1206" s="486" t="s">
        <v>203</v>
      </c>
      <c r="I1206" s="335" t="s">
        <v>2387</v>
      </c>
      <c r="J1206" s="130" t="s">
        <v>98</v>
      </c>
      <c r="K1206" s="130" t="s">
        <v>2150</v>
      </c>
      <c r="L1206" s="148" t="s">
        <v>155</v>
      </c>
      <c r="M1206" s="130"/>
      <c r="N1206" s="130"/>
      <c r="O1206" s="130"/>
    </row>
    <row r="1207" spans="1:15" ht="16.5">
      <c r="A1207" s="481">
        <v>45849</v>
      </c>
      <c r="B1207" s="482" t="s">
        <v>2395</v>
      </c>
      <c r="C1207" s="482" t="s">
        <v>175</v>
      </c>
      <c r="D1207" s="482" t="s">
        <v>118</v>
      </c>
      <c r="E1207" s="379">
        <v>1000</v>
      </c>
      <c r="F1207" s="358">
        <f t="shared" si="3"/>
        <v>1.7827139780891614</v>
      </c>
      <c r="G1207" s="359">
        <v>560.94248000000005</v>
      </c>
      <c r="H1207" s="482" t="s">
        <v>643</v>
      </c>
      <c r="I1207" s="130" t="s">
        <v>2434</v>
      </c>
      <c r="J1207" s="130" t="s">
        <v>98</v>
      </c>
      <c r="K1207" s="130" t="s">
        <v>2150</v>
      </c>
      <c r="L1207" s="148" t="s">
        <v>155</v>
      </c>
      <c r="M1207" s="130"/>
      <c r="N1207" s="130"/>
      <c r="O1207" s="130"/>
    </row>
    <row r="1208" spans="1:15" ht="16.5">
      <c r="A1208" s="481">
        <v>45849</v>
      </c>
      <c r="B1208" s="482" t="s">
        <v>2396</v>
      </c>
      <c r="C1208" s="482" t="s">
        <v>175</v>
      </c>
      <c r="D1208" s="482" t="s">
        <v>118</v>
      </c>
      <c r="E1208" s="379">
        <v>1000</v>
      </c>
      <c r="F1208" s="358">
        <f t="shared" si="3"/>
        <v>1.7827139780891614</v>
      </c>
      <c r="G1208" s="359">
        <v>560.94248000000005</v>
      </c>
      <c r="H1208" s="482" t="s">
        <v>643</v>
      </c>
      <c r="I1208" s="130" t="s">
        <v>2434</v>
      </c>
      <c r="J1208" s="130" t="s">
        <v>98</v>
      </c>
      <c r="K1208" s="130" t="s">
        <v>2150</v>
      </c>
      <c r="L1208" s="148" t="s">
        <v>155</v>
      </c>
      <c r="M1208" s="130"/>
      <c r="N1208" s="130"/>
      <c r="O1208" s="130"/>
    </row>
    <row r="1209" spans="1:15" ht="16.5">
      <c r="A1209" s="481">
        <v>45849</v>
      </c>
      <c r="B1209" s="482" t="s">
        <v>2397</v>
      </c>
      <c r="C1209" s="482" t="s">
        <v>175</v>
      </c>
      <c r="D1209" s="482" t="s">
        <v>118</v>
      </c>
      <c r="E1209" s="379">
        <v>1000</v>
      </c>
      <c r="F1209" s="358">
        <f t="shared" si="3"/>
        <v>1.7827139780891614</v>
      </c>
      <c r="G1209" s="359">
        <v>560.94248000000005</v>
      </c>
      <c r="H1209" s="482" t="s">
        <v>643</v>
      </c>
      <c r="I1209" s="130" t="s">
        <v>2434</v>
      </c>
      <c r="J1209" s="130" t="s">
        <v>98</v>
      </c>
      <c r="K1209" s="130" t="s">
        <v>2150</v>
      </c>
      <c r="L1209" s="148" t="s">
        <v>155</v>
      </c>
      <c r="M1209" s="130"/>
      <c r="N1209" s="130"/>
      <c r="O1209" s="130"/>
    </row>
    <row r="1210" spans="1:15" ht="16.5">
      <c r="A1210" s="481">
        <v>45849</v>
      </c>
      <c r="B1210" s="482" t="s">
        <v>2398</v>
      </c>
      <c r="C1210" s="482" t="s">
        <v>175</v>
      </c>
      <c r="D1210" s="482" t="s">
        <v>118</v>
      </c>
      <c r="E1210" s="379">
        <v>1000</v>
      </c>
      <c r="F1210" s="358">
        <f t="shared" si="3"/>
        <v>1.7827139780891614</v>
      </c>
      <c r="G1210" s="359">
        <v>560.94248000000005</v>
      </c>
      <c r="H1210" s="482" t="s">
        <v>643</v>
      </c>
      <c r="I1210" s="130" t="s">
        <v>2434</v>
      </c>
      <c r="J1210" s="130" t="s">
        <v>98</v>
      </c>
      <c r="K1210" s="130" t="s">
        <v>2150</v>
      </c>
      <c r="L1210" s="148" t="s">
        <v>155</v>
      </c>
      <c r="M1210" s="130"/>
      <c r="N1210" s="130"/>
      <c r="O1210" s="130"/>
    </row>
    <row r="1211" spans="1:15" ht="16.5">
      <c r="A1211" s="481">
        <v>45849</v>
      </c>
      <c r="B1211" s="404" t="s">
        <v>2160</v>
      </c>
      <c r="C1211" s="183" t="s">
        <v>126</v>
      </c>
      <c r="D1211" s="483" t="s">
        <v>118</v>
      </c>
      <c r="E1211" s="478">
        <v>500000</v>
      </c>
      <c r="F1211" s="358">
        <f t="shared" si="3"/>
        <v>891.3569890445807</v>
      </c>
      <c r="G1211" s="359">
        <v>560.94248000000005</v>
      </c>
      <c r="H1211" s="482" t="s">
        <v>148</v>
      </c>
      <c r="I1211" s="130" t="s">
        <v>2545</v>
      </c>
      <c r="J1211" s="130" t="s">
        <v>98</v>
      </c>
      <c r="K1211" s="130" t="s">
        <v>2150</v>
      </c>
      <c r="L1211" s="148" t="s">
        <v>155</v>
      </c>
      <c r="M1211" s="130"/>
      <c r="N1211" s="130"/>
      <c r="O1211" s="130"/>
    </row>
    <row r="1212" spans="1:15" ht="16.5">
      <c r="A1212" s="481">
        <v>45849</v>
      </c>
      <c r="B1212" s="404" t="s">
        <v>2547</v>
      </c>
      <c r="C1212" s="183" t="s">
        <v>125</v>
      </c>
      <c r="D1212" s="483"/>
      <c r="E1212" s="478"/>
      <c r="F1212" s="358"/>
      <c r="G1212" s="487">
        <f>+M1212/N1212</f>
        <v>534.23810000000003</v>
      </c>
      <c r="H1212" s="482" t="s">
        <v>148</v>
      </c>
      <c r="I1212" s="130" t="s">
        <v>2548</v>
      </c>
      <c r="J1212" s="130" t="s">
        <v>98</v>
      </c>
      <c r="K1212" s="130" t="s">
        <v>1285</v>
      </c>
      <c r="L1212" s="148" t="s">
        <v>155</v>
      </c>
      <c r="M1212" s="380">
        <v>5342381</v>
      </c>
      <c r="N1212" s="130">
        <v>10000</v>
      </c>
      <c r="O1212" s="130"/>
    </row>
    <row r="1213" spans="1:15" ht="16.5">
      <c r="A1213" s="481">
        <v>45849</v>
      </c>
      <c r="B1213" s="404" t="s">
        <v>2549</v>
      </c>
      <c r="C1213" s="183" t="s">
        <v>127</v>
      </c>
      <c r="D1213" s="183" t="s">
        <v>121</v>
      </c>
      <c r="E1213" s="478">
        <v>400000</v>
      </c>
      <c r="F1213" s="358">
        <f t="shared" ref="F1213:F1276" si="4">E1213/G1213</f>
        <v>748.72982664471135</v>
      </c>
      <c r="G1213" s="487">
        <v>534.23810000000003</v>
      </c>
      <c r="H1213" s="482" t="s">
        <v>148</v>
      </c>
      <c r="I1213" s="130" t="s">
        <v>2550</v>
      </c>
      <c r="J1213" s="130" t="s">
        <v>98</v>
      </c>
      <c r="K1213" s="130" t="s">
        <v>1285</v>
      </c>
      <c r="L1213" s="148" t="s">
        <v>155</v>
      </c>
      <c r="M1213" s="130"/>
      <c r="N1213" s="130"/>
      <c r="O1213" s="130"/>
    </row>
    <row r="1214" spans="1:15" ht="16.5">
      <c r="A1214" s="481">
        <v>45849</v>
      </c>
      <c r="B1214" s="404" t="s">
        <v>2551</v>
      </c>
      <c r="C1214" s="183" t="s">
        <v>127</v>
      </c>
      <c r="D1214" s="183" t="s">
        <v>121</v>
      </c>
      <c r="E1214" s="478">
        <v>255000</v>
      </c>
      <c r="F1214" s="358">
        <f t="shared" si="4"/>
        <v>477.31526448600351</v>
      </c>
      <c r="G1214" s="487">
        <v>534.23810000000003</v>
      </c>
      <c r="H1214" s="482" t="s">
        <v>148</v>
      </c>
      <c r="I1214" s="130" t="s">
        <v>2552</v>
      </c>
      <c r="J1214" s="130" t="s">
        <v>98</v>
      </c>
      <c r="K1214" s="130" t="s">
        <v>1285</v>
      </c>
      <c r="L1214" s="148" t="s">
        <v>155</v>
      </c>
      <c r="M1214" s="130"/>
      <c r="N1214" s="130"/>
      <c r="O1214" s="130"/>
    </row>
    <row r="1215" spans="1:15" ht="16.5">
      <c r="A1215" s="481">
        <v>45849</v>
      </c>
      <c r="B1215" s="404" t="s">
        <v>2553</v>
      </c>
      <c r="C1215" s="483" t="s">
        <v>127</v>
      </c>
      <c r="D1215" s="488" t="s">
        <v>121</v>
      </c>
      <c r="E1215" s="478">
        <v>255000</v>
      </c>
      <c r="F1215" s="358">
        <f t="shared" si="4"/>
        <v>477.31526448600351</v>
      </c>
      <c r="G1215" s="487">
        <v>534.23810000000003</v>
      </c>
      <c r="H1215" s="482" t="s">
        <v>148</v>
      </c>
      <c r="I1215" s="130" t="s">
        <v>2554</v>
      </c>
      <c r="J1215" s="130" t="s">
        <v>98</v>
      </c>
      <c r="K1215" s="130" t="s">
        <v>1285</v>
      </c>
      <c r="L1215" s="148" t="s">
        <v>155</v>
      </c>
      <c r="M1215" s="130"/>
      <c r="N1215" s="130"/>
      <c r="O1215" s="130"/>
    </row>
    <row r="1216" spans="1:15" ht="16.5">
      <c r="A1216" s="481">
        <v>45849</v>
      </c>
      <c r="B1216" s="404" t="s">
        <v>2555</v>
      </c>
      <c r="C1216" s="183" t="s">
        <v>127</v>
      </c>
      <c r="D1216" s="183" t="s">
        <v>121</v>
      </c>
      <c r="E1216" s="478">
        <v>255000</v>
      </c>
      <c r="F1216" s="358">
        <f t="shared" si="4"/>
        <v>477.31526448600351</v>
      </c>
      <c r="G1216" s="487">
        <v>534.23810000000003</v>
      </c>
      <c r="H1216" s="482" t="s">
        <v>148</v>
      </c>
      <c r="I1216" s="130" t="s">
        <v>2556</v>
      </c>
      <c r="J1216" s="130" t="s">
        <v>98</v>
      </c>
      <c r="K1216" s="130" t="s">
        <v>1285</v>
      </c>
      <c r="L1216" s="148" t="s">
        <v>155</v>
      </c>
      <c r="M1216" s="130"/>
      <c r="N1216" s="130"/>
      <c r="O1216" s="130"/>
    </row>
    <row r="1217" spans="1:15" ht="16.5">
      <c r="A1217" s="481">
        <v>45849</v>
      </c>
      <c r="B1217" s="404" t="s">
        <v>2676</v>
      </c>
      <c r="C1217" s="183" t="s">
        <v>127</v>
      </c>
      <c r="D1217" s="183" t="s">
        <v>118</v>
      </c>
      <c r="E1217" s="478">
        <v>230000</v>
      </c>
      <c r="F1217" s="358">
        <f t="shared" si="4"/>
        <v>430.51965032070905</v>
      </c>
      <c r="G1217" s="487">
        <v>534.23810000000003</v>
      </c>
      <c r="H1217" s="482" t="s">
        <v>148</v>
      </c>
      <c r="I1217" s="130" t="s">
        <v>2557</v>
      </c>
      <c r="J1217" s="130" t="s">
        <v>98</v>
      </c>
      <c r="K1217" s="130" t="s">
        <v>1285</v>
      </c>
      <c r="L1217" s="148" t="s">
        <v>155</v>
      </c>
      <c r="M1217" s="130"/>
      <c r="N1217" s="130"/>
      <c r="O1217" s="130"/>
    </row>
    <row r="1218" spans="1:15" ht="16.5">
      <c r="A1218" s="481">
        <v>45849</v>
      </c>
      <c r="B1218" s="404" t="s">
        <v>2677</v>
      </c>
      <c r="C1218" s="483" t="s">
        <v>127</v>
      </c>
      <c r="D1218" s="488" t="s">
        <v>117</v>
      </c>
      <c r="E1218" s="478">
        <v>200000</v>
      </c>
      <c r="F1218" s="358">
        <f t="shared" si="4"/>
        <v>374.36491332235568</v>
      </c>
      <c r="G1218" s="487">
        <v>534.23810000000003</v>
      </c>
      <c r="H1218" s="482" t="s">
        <v>148</v>
      </c>
      <c r="I1218" s="130" t="s">
        <v>2558</v>
      </c>
      <c r="J1218" s="130" t="s">
        <v>98</v>
      </c>
      <c r="K1218" s="130" t="s">
        <v>1285</v>
      </c>
      <c r="L1218" s="148" t="s">
        <v>155</v>
      </c>
      <c r="M1218" s="130"/>
      <c r="N1218" s="130"/>
      <c r="O1218" s="130"/>
    </row>
    <row r="1219" spans="1:15" ht="16.5">
      <c r="A1219" s="481">
        <v>45849</v>
      </c>
      <c r="B1219" s="404" t="s">
        <v>2559</v>
      </c>
      <c r="C1219" s="483" t="s">
        <v>127</v>
      </c>
      <c r="D1219" s="488" t="s">
        <v>117</v>
      </c>
      <c r="E1219" s="478">
        <v>551482</v>
      </c>
      <c r="F1219" s="358">
        <f t="shared" si="4"/>
        <v>1032.2775556441968</v>
      </c>
      <c r="G1219" s="487">
        <v>534.23810000000003</v>
      </c>
      <c r="H1219" s="482" t="s">
        <v>148</v>
      </c>
      <c r="I1219" s="130" t="s">
        <v>2560</v>
      </c>
      <c r="J1219" s="130" t="s">
        <v>98</v>
      </c>
      <c r="K1219" s="130" t="s">
        <v>1285</v>
      </c>
      <c r="L1219" s="148" t="s">
        <v>155</v>
      </c>
      <c r="M1219" s="130"/>
      <c r="N1219" s="130"/>
      <c r="O1219" s="130"/>
    </row>
    <row r="1220" spans="1:15" ht="16.5">
      <c r="A1220" s="481">
        <v>45849</v>
      </c>
      <c r="B1220" s="404" t="s">
        <v>2561</v>
      </c>
      <c r="C1220" s="183" t="s">
        <v>127</v>
      </c>
      <c r="D1220" s="483" t="s">
        <v>117</v>
      </c>
      <c r="E1220" s="478">
        <v>300000</v>
      </c>
      <c r="F1220" s="358">
        <f t="shared" si="4"/>
        <v>561.54736998353349</v>
      </c>
      <c r="G1220" s="487">
        <v>534.23810000000003</v>
      </c>
      <c r="H1220" s="482" t="s">
        <v>148</v>
      </c>
      <c r="I1220" s="130" t="s">
        <v>2562</v>
      </c>
      <c r="J1220" s="130" t="s">
        <v>98</v>
      </c>
      <c r="K1220" s="130" t="s">
        <v>1285</v>
      </c>
      <c r="L1220" s="148" t="s">
        <v>155</v>
      </c>
      <c r="M1220" s="130"/>
      <c r="N1220" s="130"/>
      <c r="O1220" s="130"/>
    </row>
    <row r="1221" spans="1:15" ht="16.5">
      <c r="A1221" s="481">
        <v>45849</v>
      </c>
      <c r="B1221" s="404" t="s">
        <v>2563</v>
      </c>
      <c r="C1221" s="183" t="s">
        <v>127</v>
      </c>
      <c r="D1221" s="483" t="s">
        <v>120</v>
      </c>
      <c r="E1221" s="478">
        <v>238140</v>
      </c>
      <c r="F1221" s="358">
        <f t="shared" si="4"/>
        <v>445.75630229292892</v>
      </c>
      <c r="G1221" s="487">
        <v>534.23810000000003</v>
      </c>
      <c r="H1221" s="482" t="s">
        <v>148</v>
      </c>
      <c r="I1221" s="130" t="s">
        <v>2564</v>
      </c>
      <c r="J1221" s="130" t="s">
        <v>98</v>
      </c>
      <c r="K1221" s="130" t="s">
        <v>1285</v>
      </c>
      <c r="L1221" s="148" t="s">
        <v>155</v>
      </c>
      <c r="M1221" s="130"/>
      <c r="N1221" s="130"/>
      <c r="O1221" s="130"/>
    </row>
    <row r="1222" spans="1:15" ht="16.5">
      <c r="A1222" s="481">
        <v>45849</v>
      </c>
      <c r="B1222" s="404" t="s">
        <v>2679</v>
      </c>
      <c r="C1222" s="483" t="s">
        <v>127</v>
      </c>
      <c r="D1222" s="488" t="s">
        <v>119</v>
      </c>
      <c r="E1222" s="478">
        <v>786600</v>
      </c>
      <c r="F1222" s="358">
        <f t="shared" si="4"/>
        <v>1472.3772040968249</v>
      </c>
      <c r="G1222" s="487">
        <v>534.23810000000003</v>
      </c>
      <c r="H1222" s="482" t="s">
        <v>148</v>
      </c>
      <c r="I1222" s="130" t="s">
        <v>2565</v>
      </c>
      <c r="J1222" s="130" t="s">
        <v>98</v>
      </c>
      <c r="K1222" s="130" t="s">
        <v>1285</v>
      </c>
      <c r="L1222" s="148" t="s">
        <v>155</v>
      </c>
      <c r="M1222" s="130"/>
      <c r="N1222" s="130"/>
      <c r="O1222" s="130"/>
    </row>
    <row r="1223" spans="1:15" ht="16.5">
      <c r="A1223" s="481">
        <v>45849</v>
      </c>
      <c r="B1223" s="404" t="s">
        <v>2680</v>
      </c>
      <c r="C1223" s="483" t="s">
        <v>127</v>
      </c>
      <c r="D1223" s="488" t="s">
        <v>119</v>
      </c>
      <c r="E1223" s="478">
        <v>524400</v>
      </c>
      <c r="F1223" s="358">
        <f t="shared" si="4"/>
        <v>981.58480273121666</v>
      </c>
      <c r="G1223" s="487">
        <v>534.23810000000003</v>
      </c>
      <c r="H1223" s="482" t="s">
        <v>148</v>
      </c>
      <c r="I1223" s="130" t="s">
        <v>2566</v>
      </c>
      <c r="J1223" s="130" t="s">
        <v>98</v>
      </c>
      <c r="K1223" s="130" t="s">
        <v>1285</v>
      </c>
      <c r="L1223" s="148" t="s">
        <v>155</v>
      </c>
      <c r="M1223" s="130"/>
      <c r="N1223" s="130"/>
      <c r="O1223" s="130"/>
    </row>
    <row r="1224" spans="1:15" ht="16.5">
      <c r="A1224" s="481">
        <v>45849</v>
      </c>
      <c r="B1224" s="404" t="s">
        <v>2603</v>
      </c>
      <c r="C1224" s="483" t="s">
        <v>128</v>
      </c>
      <c r="D1224" s="488" t="s">
        <v>118</v>
      </c>
      <c r="E1224" s="478">
        <v>10665</v>
      </c>
      <c r="F1224" s="358">
        <f t="shared" si="4"/>
        <v>19.963009002914617</v>
      </c>
      <c r="G1224" s="487">
        <v>534.23810000000003</v>
      </c>
      <c r="H1224" s="482" t="s">
        <v>148</v>
      </c>
      <c r="I1224" s="130" t="s">
        <v>2568</v>
      </c>
      <c r="J1224" s="130" t="s">
        <v>98</v>
      </c>
      <c r="K1224" s="130" t="s">
        <v>1285</v>
      </c>
      <c r="L1224" s="148" t="s">
        <v>155</v>
      </c>
      <c r="M1224" s="130"/>
      <c r="N1224" s="130"/>
      <c r="O1224" s="130"/>
    </row>
    <row r="1225" spans="1:15" ht="16.5">
      <c r="A1225" s="481">
        <v>45852</v>
      </c>
      <c r="B1225" s="321" t="s">
        <v>2355</v>
      </c>
      <c r="C1225" s="322" t="s">
        <v>175</v>
      </c>
      <c r="D1225" s="323" t="s">
        <v>119</v>
      </c>
      <c r="E1225" s="321">
        <v>1000</v>
      </c>
      <c r="F1225" s="358">
        <f t="shared" si="4"/>
        <v>1.8718245666117783</v>
      </c>
      <c r="G1225" s="487">
        <v>534.23810000000003</v>
      </c>
      <c r="H1225" s="325" t="s">
        <v>153</v>
      </c>
      <c r="I1225" s="326" t="s">
        <v>2373</v>
      </c>
      <c r="J1225" s="130" t="s">
        <v>98</v>
      </c>
      <c r="K1225" s="130" t="s">
        <v>1285</v>
      </c>
      <c r="L1225" s="148" t="s">
        <v>155</v>
      </c>
      <c r="M1225" s="130"/>
      <c r="N1225" s="130"/>
      <c r="O1225" s="130"/>
    </row>
    <row r="1226" spans="1:15" ht="16.5">
      <c r="A1226" s="481">
        <v>45852</v>
      </c>
      <c r="B1226" s="321" t="s">
        <v>2356</v>
      </c>
      <c r="C1226" s="322" t="s">
        <v>175</v>
      </c>
      <c r="D1226" s="323" t="s">
        <v>119</v>
      </c>
      <c r="E1226" s="321">
        <v>1000</v>
      </c>
      <c r="F1226" s="358">
        <f t="shared" si="4"/>
        <v>1.8718245666117783</v>
      </c>
      <c r="G1226" s="487">
        <v>534.23810000000003</v>
      </c>
      <c r="H1226" s="325" t="s">
        <v>153</v>
      </c>
      <c r="I1226" s="326" t="s">
        <v>2373</v>
      </c>
      <c r="J1226" s="130" t="s">
        <v>98</v>
      </c>
      <c r="K1226" s="130" t="s">
        <v>1285</v>
      </c>
      <c r="L1226" s="148" t="s">
        <v>155</v>
      </c>
      <c r="M1226" s="130"/>
      <c r="N1226" s="130"/>
      <c r="O1226" s="130"/>
    </row>
    <row r="1227" spans="1:15" ht="16.5">
      <c r="A1227" s="481">
        <v>45852</v>
      </c>
      <c r="B1227" s="404" t="s">
        <v>2674</v>
      </c>
      <c r="C1227" s="183" t="s">
        <v>127</v>
      </c>
      <c r="D1227" s="489" t="s">
        <v>117</v>
      </c>
      <c r="E1227" s="478">
        <v>200000</v>
      </c>
      <c r="F1227" s="358">
        <f t="shared" si="4"/>
        <v>374.36491332235568</v>
      </c>
      <c r="G1227" s="487">
        <v>534.23810000000003</v>
      </c>
      <c r="H1227" s="482" t="s">
        <v>148</v>
      </c>
      <c r="I1227" s="130" t="s">
        <v>2569</v>
      </c>
      <c r="J1227" s="130" t="s">
        <v>98</v>
      </c>
      <c r="K1227" s="130" t="s">
        <v>1285</v>
      </c>
      <c r="L1227" s="148" t="s">
        <v>155</v>
      </c>
      <c r="M1227" s="130"/>
      <c r="N1227" s="130"/>
      <c r="O1227" s="130"/>
    </row>
    <row r="1228" spans="1:15" ht="16.5">
      <c r="A1228" s="481">
        <v>45853</v>
      </c>
      <c r="B1228" s="321" t="s">
        <v>2361</v>
      </c>
      <c r="C1228" s="322" t="s">
        <v>175</v>
      </c>
      <c r="D1228" s="323" t="s">
        <v>119</v>
      </c>
      <c r="E1228" s="321">
        <v>1000</v>
      </c>
      <c r="F1228" s="358">
        <f t="shared" si="4"/>
        <v>1.8718245666117783</v>
      </c>
      <c r="G1228" s="487">
        <v>534.23810000000003</v>
      </c>
      <c r="H1228" s="325" t="s">
        <v>153</v>
      </c>
      <c r="I1228" s="326" t="s">
        <v>2373</v>
      </c>
      <c r="J1228" s="130" t="s">
        <v>98</v>
      </c>
      <c r="K1228" s="130" t="s">
        <v>1285</v>
      </c>
      <c r="L1228" s="148" t="s">
        <v>155</v>
      </c>
      <c r="M1228" s="130"/>
      <c r="N1228" s="130"/>
      <c r="O1228" s="130"/>
    </row>
    <row r="1229" spans="1:15" ht="16.5">
      <c r="A1229" s="481">
        <v>45853</v>
      </c>
      <c r="B1229" s="321" t="s">
        <v>2360</v>
      </c>
      <c r="C1229" s="322" t="s">
        <v>175</v>
      </c>
      <c r="D1229" s="323" t="s">
        <v>119</v>
      </c>
      <c r="E1229" s="321">
        <v>1000</v>
      </c>
      <c r="F1229" s="358">
        <f t="shared" si="4"/>
        <v>1.8718245666117783</v>
      </c>
      <c r="G1229" s="487">
        <v>534.23810000000003</v>
      </c>
      <c r="H1229" s="325" t="s">
        <v>153</v>
      </c>
      <c r="I1229" s="326" t="s">
        <v>2373</v>
      </c>
      <c r="J1229" s="130" t="s">
        <v>98</v>
      </c>
      <c r="K1229" s="130" t="s">
        <v>1285</v>
      </c>
      <c r="L1229" s="148" t="s">
        <v>155</v>
      </c>
      <c r="M1229" s="130"/>
      <c r="N1229" s="130"/>
      <c r="O1229" s="130"/>
    </row>
    <row r="1230" spans="1:15" ht="16.5">
      <c r="A1230" s="481">
        <v>45853</v>
      </c>
      <c r="B1230" s="321" t="s">
        <v>2356</v>
      </c>
      <c r="C1230" s="322" t="s">
        <v>175</v>
      </c>
      <c r="D1230" s="323" t="s">
        <v>119</v>
      </c>
      <c r="E1230" s="321">
        <v>1000</v>
      </c>
      <c r="F1230" s="358">
        <f t="shared" si="4"/>
        <v>1.8718245666117783</v>
      </c>
      <c r="G1230" s="487">
        <v>534.23810000000003</v>
      </c>
      <c r="H1230" s="325" t="s">
        <v>153</v>
      </c>
      <c r="I1230" s="326" t="s">
        <v>2373</v>
      </c>
      <c r="J1230" s="130" t="s">
        <v>98</v>
      </c>
      <c r="K1230" s="130" t="s">
        <v>1285</v>
      </c>
      <c r="L1230" s="148" t="s">
        <v>155</v>
      </c>
      <c r="M1230" s="130"/>
      <c r="N1230" s="130"/>
      <c r="O1230" s="130"/>
    </row>
    <row r="1231" spans="1:15" ht="16.5">
      <c r="A1231" s="481">
        <v>45853</v>
      </c>
      <c r="B1231" s="482" t="s">
        <v>2399</v>
      </c>
      <c r="C1231" s="482" t="s">
        <v>175</v>
      </c>
      <c r="D1231" s="482" t="s">
        <v>118</v>
      </c>
      <c r="E1231" s="379">
        <v>1000</v>
      </c>
      <c r="F1231" s="358">
        <f t="shared" si="4"/>
        <v>1.8718245666117783</v>
      </c>
      <c r="G1231" s="487">
        <v>534.23810000000003</v>
      </c>
      <c r="H1231" s="482" t="s">
        <v>643</v>
      </c>
      <c r="I1231" s="130" t="s">
        <v>2434</v>
      </c>
      <c r="J1231" s="130" t="s">
        <v>98</v>
      </c>
      <c r="K1231" s="130" t="s">
        <v>1285</v>
      </c>
      <c r="L1231" s="148" t="s">
        <v>155</v>
      </c>
      <c r="M1231" s="130"/>
      <c r="N1231" s="130"/>
      <c r="O1231" s="130"/>
    </row>
    <row r="1232" spans="1:15" ht="16.5">
      <c r="A1232" s="481">
        <v>45853</v>
      </c>
      <c r="B1232" s="482" t="s">
        <v>2400</v>
      </c>
      <c r="C1232" s="482" t="s">
        <v>175</v>
      </c>
      <c r="D1232" s="482" t="s">
        <v>118</v>
      </c>
      <c r="E1232" s="379">
        <v>1000</v>
      </c>
      <c r="F1232" s="358">
        <f t="shared" si="4"/>
        <v>1.8718245666117783</v>
      </c>
      <c r="G1232" s="487">
        <v>534.23810000000003</v>
      </c>
      <c r="H1232" s="482" t="s">
        <v>643</v>
      </c>
      <c r="I1232" s="130" t="s">
        <v>2434</v>
      </c>
      <c r="J1232" s="130" t="s">
        <v>98</v>
      </c>
      <c r="K1232" s="130" t="s">
        <v>1285</v>
      </c>
      <c r="L1232" s="148" t="s">
        <v>155</v>
      </c>
      <c r="M1232" s="130"/>
      <c r="N1232" s="130"/>
      <c r="O1232" s="130"/>
    </row>
    <row r="1233" spans="1:15" ht="16.5">
      <c r="A1233" s="481">
        <v>45853</v>
      </c>
      <c r="B1233" s="482" t="s">
        <v>2401</v>
      </c>
      <c r="C1233" s="482" t="s">
        <v>175</v>
      </c>
      <c r="D1233" s="482" t="s">
        <v>118</v>
      </c>
      <c r="E1233" s="379">
        <v>1000</v>
      </c>
      <c r="F1233" s="358">
        <f t="shared" si="4"/>
        <v>1.8718245666117783</v>
      </c>
      <c r="G1233" s="487">
        <v>534.23810000000003</v>
      </c>
      <c r="H1233" s="482" t="s">
        <v>643</v>
      </c>
      <c r="I1233" s="130" t="s">
        <v>2434</v>
      </c>
      <c r="J1233" s="130" t="s">
        <v>98</v>
      </c>
      <c r="K1233" s="130" t="s">
        <v>1285</v>
      </c>
      <c r="L1233" s="148" t="s">
        <v>155</v>
      </c>
      <c r="M1233" s="130"/>
      <c r="N1233" s="130"/>
      <c r="O1233" s="130"/>
    </row>
    <row r="1234" spans="1:15" ht="16.5">
      <c r="A1234" s="481">
        <v>45853</v>
      </c>
      <c r="B1234" s="381" t="s">
        <v>2570</v>
      </c>
      <c r="C1234" s="381" t="s">
        <v>127</v>
      </c>
      <c r="D1234" s="381" t="s">
        <v>117</v>
      </c>
      <c r="E1234" s="478">
        <v>368700</v>
      </c>
      <c r="F1234" s="358">
        <f t="shared" si="4"/>
        <v>690.1417177097627</v>
      </c>
      <c r="G1234" s="487">
        <v>534.23810000000003</v>
      </c>
      <c r="H1234" s="482" t="s">
        <v>148</v>
      </c>
      <c r="I1234" s="130" t="s">
        <v>2571</v>
      </c>
      <c r="J1234" s="130" t="s">
        <v>98</v>
      </c>
      <c r="K1234" s="130" t="s">
        <v>1285</v>
      </c>
      <c r="L1234" s="148" t="s">
        <v>155</v>
      </c>
      <c r="M1234" s="130"/>
      <c r="N1234" s="130"/>
      <c r="O1234" s="130"/>
    </row>
    <row r="1235" spans="1:15" ht="16.5">
      <c r="A1235" s="481">
        <v>45853</v>
      </c>
      <c r="B1235" s="381" t="s">
        <v>2572</v>
      </c>
      <c r="C1235" s="381" t="s">
        <v>127</v>
      </c>
      <c r="D1235" s="381" t="s">
        <v>117</v>
      </c>
      <c r="E1235" s="478">
        <v>177789</v>
      </c>
      <c r="F1235" s="358">
        <f t="shared" si="4"/>
        <v>332.78981787334146</v>
      </c>
      <c r="G1235" s="487">
        <v>534.23810000000003</v>
      </c>
      <c r="H1235" s="482" t="s">
        <v>148</v>
      </c>
      <c r="I1235" s="130" t="s">
        <v>2573</v>
      </c>
      <c r="J1235" s="130" t="s">
        <v>98</v>
      </c>
      <c r="K1235" s="130" t="s">
        <v>1285</v>
      </c>
      <c r="L1235" s="148" t="s">
        <v>155</v>
      </c>
      <c r="M1235" s="130"/>
      <c r="N1235" s="130"/>
      <c r="O1235" s="130"/>
    </row>
    <row r="1236" spans="1:15" ht="16.5">
      <c r="A1236" s="481">
        <v>45853</v>
      </c>
      <c r="B1236" s="381" t="s">
        <v>2574</v>
      </c>
      <c r="C1236" s="381" t="s">
        <v>127</v>
      </c>
      <c r="D1236" s="381" t="s">
        <v>117</v>
      </c>
      <c r="E1236" s="478">
        <v>118814</v>
      </c>
      <c r="F1236" s="358">
        <f t="shared" si="4"/>
        <v>222.39896405741183</v>
      </c>
      <c r="G1236" s="487">
        <v>534.23810000000003</v>
      </c>
      <c r="H1236" s="482" t="s">
        <v>148</v>
      </c>
      <c r="I1236" s="130" t="s">
        <v>2575</v>
      </c>
      <c r="J1236" s="130" t="s">
        <v>98</v>
      </c>
      <c r="K1236" s="130" t="s">
        <v>1285</v>
      </c>
      <c r="L1236" s="148" t="s">
        <v>155</v>
      </c>
      <c r="M1236" s="130"/>
      <c r="N1236" s="130"/>
      <c r="O1236" s="130"/>
    </row>
    <row r="1237" spans="1:15" ht="16.5">
      <c r="A1237" s="481">
        <v>45853</v>
      </c>
      <c r="B1237" s="381" t="s">
        <v>2576</v>
      </c>
      <c r="C1237" s="381" t="s">
        <v>127</v>
      </c>
      <c r="D1237" s="381" t="s">
        <v>117</v>
      </c>
      <c r="E1237" s="478">
        <v>103494</v>
      </c>
      <c r="F1237" s="358">
        <f t="shared" si="4"/>
        <v>193.72261169691939</v>
      </c>
      <c r="G1237" s="487">
        <v>534.23810000000003</v>
      </c>
      <c r="H1237" s="482" t="s">
        <v>148</v>
      </c>
      <c r="I1237" s="130" t="s">
        <v>2577</v>
      </c>
      <c r="J1237" s="130" t="s">
        <v>98</v>
      </c>
      <c r="K1237" s="130" t="s">
        <v>1285</v>
      </c>
      <c r="L1237" s="148" t="s">
        <v>155</v>
      </c>
      <c r="M1237" s="130"/>
      <c r="N1237" s="130"/>
      <c r="O1237" s="130"/>
    </row>
    <row r="1238" spans="1:15" ht="16.5">
      <c r="A1238" s="481">
        <v>45853</v>
      </c>
      <c r="B1238" s="381" t="s">
        <v>2578</v>
      </c>
      <c r="C1238" s="381" t="s">
        <v>127</v>
      </c>
      <c r="D1238" s="381" t="s">
        <v>117</v>
      </c>
      <c r="E1238" s="478">
        <v>103494</v>
      </c>
      <c r="F1238" s="358">
        <f t="shared" si="4"/>
        <v>193.72261169691939</v>
      </c>
      <c r="G1238" s="487">
        <v>534.23810000000003</v>
      </c>
      <c r="H1238" s="482" t="s">
        <v>148</v>
      </c>
      <c r="I1238" s="130" t="s">
        <v>2579</v>
      </c>
      <c r="J1238" s="130" t="s">
        <v>98</v>
      </c>
      <c r="K1238" s="130" t="s">
        <v>1285</v>
      </c>
      <c r="L1238" s="148" t="s">
        <v>155</v>
      </c>
      <c r="M1238" s="130"/>
      <c r="N1238" s="130"/>
      <c r="O1238" s="130"/>
    </row>
    <row r="1239" spans="1:15" ht="16.5">
      <c r="A1239" s="481">
        <v>45853</v>
      </c>
      <c r="B1239" s="381" t="s">
        <v>2580</v>
      </c>
      <c r="C1239" s="381" t="s">
        <v>127</v>
      </c>
      <c r="D1239" s="381" t="s">
        <v>118</v>
      </c>
      <c r="E1239" s="478">
        <v>124433</v>
      </c>
      <c r="F1239" s="358">
        <f t="shared" si="4"/>
        <v>232.91674629720342</v>
      </c>
      <c r="G1239" s="487">
        <v>534.23810000000003</v>
      </c>
      <c r="H1239" s="482" t="s">
        <v>148</v>
      </c>
      <c r="I1239" s="130" t="s">
        <v>2581</v>
      </c>
      <c r="J1239" s="130" t="s">
        <v>98</v>
      </c>
      <c r="K1239" s="130" t="s">
        <v>1285</v>
      </c>
      <c r="L1239" s="148" t="s">
        <v>155</v>
      </c>
      <c r="M1239" s="130"/>
      <c r="N1239" s="130"/>
      <c r="O1239" s="130"/>
    </row>
    <row r="1240" spans="1:15" ht="16.5">
      <c r="A1240" s="481">
        <v>45853</v>
      </c>
      <c r="B1240" s="381" t="s">
        <v>2582</v>
      </c>
      <c r="C1240" s="381" t="s">
        <v>127</v>
      </c>
      <c r="D1240" s="381" t="s">
        <v>120</v>
      </c>
      <c r="E1240" s="478">
        <v>155330</v>
      </c>
      <c r="F1240" s="358">
        <f t="shared" si="4"/>
        <v>276.90896221658943</v>
      </c>
      <c r="G1240" s="359">
        <v>560.94248000000005</v>
      </c>
      <c r="H1240" s="482" t="s">
        <v>148</v>
      </c>
      <c r="I1240" s="130" t="s">
        <v>2583</v>
      </c>
      <c r="J1240" s="130" t="s">
        <v>98</v>
      </c>
      <c r="K1240" s="130" t="s">
        <v>2150</v>
      </c>
      <c r="L1240" s="148" t="s">
        <v>155</v>
      </c>
      <c r="M1240" s="130"/>
      <c r="N1240" s="130"/>
      <c r="O1240" s="130"/>
    </row>
    <row r="1241" spans="1:15" ht="16.5">
      <c r="A1241" s="481">
        <v>45854</v>
      </c>
      <c r="B1241" s="321" t="s">
        <v>2355</v>
      </c>
      <c r="C1241" s="322" t="s">
        <v>175</v>
      </c>
      <c r="D1241" s="323" t="s">
        <v>119</v>
      </c>
      <c r="E1241" s="321">
        <v>1000</v>
      </c>
      <c r="F1241" s="358">
        <f t="shared" si="4"/>
        <v>1.8718245666117783</v>
      </c>
      <c r="G1241" s="487">
        <v>534.23810000000003</v>
      </c>
      <c r="H1241" s="325" t="s">
        <v>153</v>
      </c>
      <c r="I1241" s="326" t="s">
        <v>2373</v>
      </c>
      <c r="J1241" s="130" t="s">
        <v>98</v>
      </c>
      <c r="K1241" s="130" t="s">
        <v>1285</v>
      </c>
      <c r="L1241" s="148" t="s">
        <v>155</v>
      </c>
      <c r="M1241" s="130"/>
      <c r="N1241" s="130"/>
      <c r="O1241" s="148"/>
    </row>
    <row r="1242" spans="1:15" ht="16.5">
      <c r="A1242" s="481">
        <v>45854</v>
      </c>
      <c r="B1242" s="321" t="s">
        <v>2356</v>
      </c>
      <c r="C1242" s="322" t="s">
        <v>175</v>
      </c>
      <c r="D1242" s="323" t="s">
        <v>119</v>
      </c>
      <c r="E1242" s="321">
        <v>1000</v>
      </c>
      <c r="F1242" s="358">
        <f t="shared" si="4"/>
        <v>1.8718245666117783</v>
      </c>
      <c r="G1242" s="487">
        <v>534.23810000000003</v>
      </c>
      <c r="H1242" s="325" t="s">
        <v>153</v>
      </c>
      <c r="I1242" s="326" t="s">
        <v>2373</v>
      </c>
      <c r="J1242" s="130" t="s">
        <v>98</v>
      </c>
      <c r="K1242" s="130" t="s">
        <v>1285</v>
      </c>
      <c r="L1242" s="148" t="s">
        <v>155</v>
      </c>
      <c r="M1242" s="130"/>
      <c r="N1242" s="130"/>
      <c r="O1242" s="130"/>
    </row>
    <row r="1243" spans="1:15" ht="16.5">
      <c r="A1243" s="481">
        <v>45854</v>
      </c>
      <c r="B1243" s="482" t="s">
        <v>2402</v>
      </c>
      <c r="C1243" s="482" t="s">
        <v>175</v>
      </c>
      <c r="D1243" s="482" t="s">
        <v>118</v>
      </c>
      <c r="E1243" s="379">
        <v>1000</v>
      </c>
      <c r="F1243" s="358">
        <f t="shared" si="4"/>
        <v>1.8718245666117783</v>
      </c>
      <c r="G1243" s="487">
        <v>534.23810000000003</v>
      </c>
      <c r="H1243" s="482" t="s">
        <v>643</v>
      </c>
      <c r="I1243" s="130" t="s">
        <v>2434</v>
      </c>
      <c r="J1243" s="130" t="s">
        <v>98</v>
      </c>
      <c r="K1243" s="130" t="s">
        <v>1285</v>
      </c>
      <c r="L1243" s="148" t="s">
        <v>155</v>
      </c>
      <c r="M1243" s="130"/>
      <c r="N1243" s="130"/>
      <c r="O1243" s="130"/>
    </row>
    <row r="1244" spans="1:15" ht="16.5">
      <c r="A1244" s="481">
        <v>45854</v>
      </c>
      <c r="B1244" s="482" t="s">
        <v>2403</v>
      </c>
      <c r="C1244" s="482" t="s">
        <v>175</v>
      </c>
      <c r="D1244" s="482" t="s">
        <v>118</v>
      </c>
      <c r="E1244" s="379">
        <v>1000</v>
      </c>
      <c r="F1244" s="358">
        <f t="shared" si="4"/>
        <v>1.8718245666117783</v>
      </c>
      <c r="G1244" s="487">
        <v>534.23810000000003</v>
      </c>
      <c r="H1244" s="482" t="s">
        <v>643</v>
      </c>
      <c r="I1244" s="130" t="s">
        <v>2434</v>
      </c>
      <c r="J1244" s="130" t="s">
        <v>98</v>
      </c>
      <c r="K1244" s="130" t="s">
        <v>1285</v>
      </c>
      <c r="L1244" s="148" t="s">
        <v>155</v>
      </c>
      <c r="M1244" s="130"/>
      <c r="N1244" s="130"/>
      <c r="O1244" s="130"/>
    </row>
    <row r="1245" spans="1:15" ht="16.5">
      <c r="A1245" s="481">
        <v>45854</v>
      </c>
      <c r="B1245" s="482" t="s">
        <v>2656</v>
      </c>
      <c r="C1245" s="490" t="s">
        <v>152</v>
      </c>
      <c r="D1245" s="482" t="s">
        <v>119</v>
      </c>
      <c r="E1245" s="379">
        <v>5000</v>
      </c>
      <c r="F1245" s="358">
        <f t="shared" si="4"/>
        <v>9.3591228330588923</v>
      </c>
      <c r="G1245" s="487">
        <v>534.23810000000003</v>
      </c>
      <c r="H1245" s="482" t="s">
        <v>643</v>
      </c>
      <c r="I1245" s="130" t="s">
        <v>2437</v>
      </c>
      <c r="J1245" s="130" t="s">
        <v>98</v>
      </c>
      <c r="K1245" s="130" t="s">
        <v>1285</v>
      </c>
      <c r="L1245" s="148" t="s">
        <v>155</v>
      </c>
      <c r="M1245" s="130"/>
      <c r="N1245" s="130"/>
      <c r="O1245" s="130"/>
    </row>
    <row r="1246" spans="1:15" s="494" customFormat="1" ht="16.5">
      <c r="A1246" s="481">
        <v>45854</v>
      </c>
      <c r="B1246" s="482" t="s">
        <v>2647</v>
      </c>
      <c r="C1246" s="490" t="s">
        <v>152</v>
      </c>
      <c r="D1246" s="482" t="s">
        <v>119</v>
      </c>
      <c r="E1246" s="379">
        <v>20000</v>
      </c>
      <c r="F1246" s="358">
        <f t="shared" si="4"/>
        <v>35.654279561783227</v>
      </c>
      <c r="G1246" s="359">
        <v>560.94248000000005</v>
      </c>
      <c r="H1246" s="482" t="s">
        <v>153</v>
      </c>
      <c r="I1246" s="130" t="s">
        <v>2648</v>
      </c>
      <c r="J1246" s="130" t="s">
        <v>98</v>
      </c>
      <c r="K1246" s="130" t="s">
        <v>2150</v>
      </c>
      <c r="L1246" s="148" t="s">
        <v>155</v>
      </c>
      <c r="M1246" s="130"/>
      <c r="N1246" s="130"/>
      <c r="O1246" s="130"/>
    </row>
    <row r="1247" spans="1:15" ht="16.5">
      <c r="A1247" s="481">
        <v>45855</v>
      </c>
      <c r="B1247" s="321" t="s">
        <v>2355</v>
      </c>
      <c r="C1247" s="322" t="s">
        <v>175</v>
      </c>
      <c r="D1247" s="323" t="s">
        <v>119</v>
      </c>
      <c r="E1247" s="321">
        <v>1000</v>
      </c>
      <c r="F1247" s="358">
        <f t="shared" si="4"/>
        <v>1.8718245666117783</v>
      </c>
      <c r="G1247" s="487">
        <v>534.23810000000003</v>
      </c>
      <c r="H1247" s="325" t="s">
        <v>153</v>
      </c>
      <c r="I1247" s="326" t="s">
        <v>2373</v>
      </c>
      <c r="J1247" s="130" t="s">
        <v>98</v>
      </c>
      <c r="K1247" s="130" t="s">
        <v>1285</v>
      </c>
      <c r="L1247" s="148" t="s">
        <v>155</v>
      </c>
      <c r="M1247" s="130"/>
      <c r="N1247" s="130"/>
      <c r="O1247" s="130"/>
    </row>
    <row r="1248" spans="1:15" ht="16.5">
      <c r="A1248" s="481">
        <v>45855</v>
      </c>
      <c r="B1248" s="321" t="s">
        <v>2362</v>
      </c>
      <c r="C1248" s="322" t="s">
        <v>175</v>
      </c>
      <c r="D1248" s="323" t="s">
        <v>119</v>
      </c>
      <c r="E1248" s="321">
        <v>1000</v>
      </c>
      <c r="F1248" s="358">
        <f t="shared" si="4"/>
        <v>1.8718245666117783</v>
      </c>
      <c r="G1248" s="487">
        <v>534.23810000000003</v>
      </c>
      <c r="H1248" s="325" t="s">
        <v>153</v>
      </c>
      <c r="I1248" s="326" t="s">
        <v>2373</v>
      </c>
      <c r="J1248" s="130" t="s">
        <v>98</v>
      </c>
      <c r="K1248" s="130" t="s">
        <v>1285</v>
      </c>
      <c r="L1248" s="148" t="s">
        <v>155</v>
      </c>
      <c r="M1248" s="130"/>
      <c r="N1248" s="130"/>
      <c r="O1248" s="130"/>
    </row>
    <row r="1249" spans="1:15" ht="16.5">
      <c r="A1249" s="481">
        <v>45855</v>
      </c>
      <c r="B1249" s="321" t="s">
        <v>2363</v>
      </c>
      <c r="C1249" s="322" t="s">
        <v>175</v>
      </c>
      <c r="D1249" s="323" t="s">
        <v>119</v>
      </c>
      <c r="E1249" s="321">
        <v>1000</v>
      </c>
      <c r="F1249" s="358">
        <f t="shared" si="4"/>
        <v>1.8718245666117783</v>
      </c>
      <c r="G1249" s="487">
        <v>534.23810000000003</v>
      </c>
      <c r="H1249" s="325" t="s">
        <v>153</v>
      </c>
      <c r="I1249" s="326" t="s">
        <v>2373</v>
      </c>
      <c r="J1249" s="130" t="s">
        <v>98</v>
      </c>
      <c r="K1249" s="130" t="s">
        <v>1285</v>
      </c>
      <c r="L1249" s="148" t="s">
        <v>155</v>
      </c>
      <c r="M1249" s="130"/>
      <c r="N1249" s="130"/>
      <c r="O1249" s="130"/>
    </row>
    <row r="1250" spans="1:15" ht="16.5">
      <c r="A1250" s="481">
        <v>45855</v>
      </c>
      <c r="B1250" s="321" t="s">
        <v>2356</v>
      </c>
      <c r="C1250" s="322" t="s">
        <v>175</v>
      </c>
      <c r="D1250" s="323" t="s">
        <v>119</v>
      </c>
      <c r="E1250" s="321">
        <v>1000</v>
      </c>
      <c r="F1250" s="358">
        <f t="shared" si="4"/>
        <v>1.8718245666117783</v>
      </c>
      <c r="G1250" s="487">
        <v>534.23810000000003</v>
      </c>
      <c r="H1250" s="325" t="s">
        <v>153</v>
      </c>
      <c r="I1250" s="326" t="s">
        <v>2373</v>
      </c>
      <c r="J1250" s="130" t="s">
        <v>98</v>
      </c>
      <c r="K1250" s="130" t="s">
        <v>1285</v>
      </c>
      <c r="L1250" s="148" t="s">
        <v>155</v>
      </c>
      <c r="M1250" s="130"/>
      <c r="N1250" s="130"/>
      <c r="O1250" s="130"/>
    </row>
    <row r="1251" spans="1:15" ht="16.5">
      <c r="A1251" s="481">
        <v>45855</v>
      </c>
      <c r="B1251" s="484" t="s">
        <v>2380</v>
      </c>
      <c r="C1251" s="485" t="s">
        <v>175</v>
      </c>
      <c r="D1251" s="484" t="s">
        <v>117</v>
      </c>
      <c r="E1251" s="485">
        <v>1000</v>
      </c>
      <c r="F1251" s="358">
        <f t="shared" si="4"/>
        <v>1.8718245666117783</v>
      </c>
      <c r="G1251" s="487">
        <v>534.23810000000003</v>
      </c>
      <c r="H1251" s="486" t="s">
        <v>203</v>
      </c>
      <c r="I1251" s="335" t="s">
        <v>2387</v>
      </c>
      <c r="J1251" s="130" t="s">
        <v>98</v>
      </c>
      <c r="K1251" s="130" t="s">
        <v>1285</v>
      </c>
      <c r="L1251" s="148" t="s">
        <v>155</v>
      </c>
      <c r="M1251" s="130"/>
      <c r="N1251" s="130"/>
      <c r="O1251" s="130"/>
    </row>
    <row r="1252" spans="1:15" ht="16.5">
      <c r="A1252" s="481">
        <v>45856</v>
      </c>
      <c r="B1252" s="321" t="s">
        <v>2358</v>
      </c>
      <c r="C1252" s="322" t="s">
        <v>175</v>
      </c>
      <c r="D1252" s="323" t="s">
        <v>119</v>
      </c>
      <c r="E1252" s="321">
        <v>1000</v>
      </c>
      <c r="F1252" s="358">
        <f t="shared" si="4"/>
        <v>1.8718245666117783</v>
      </c>
      <c r="G1252" s="487">
        <v>534.23810000000003</v>
      </c>
      <c r="H1252" s="325" t="s">
        <v>153</v>
      </c>
      <c r="I1252" s="326" t="s">
        <v>2373</v>
      </c>
      <c r="J1252" s="130" t="s">
        <v>98</v>
      </c>
      <c r="K1252" s="130" t="s">
        <v>1285</v>
      </c>
      <c r="L1252" s="148" t="s">
        <v>155</v>
      </c>
      <c r="M1252" s="130"/>
      <c r="N1252" s="130"/>
      <c r="O1252" s="130"/>
    </row>
    <row r="1253" spans="1:15" ht="16.5">
      <c r="A1253" s="481">
        <v>45856</v>
      </c>
      <c r="B1253" s="321" t="s">
        <v>2364</v>
      </c>
      <c r="C1253" s="322" t="s">
        <v>175</v>
      </c>
      <c r="D1253" s="323" t="s">
        <v>119</v>
      </c>
      <c r="E1253" s="321">
        <v>1000</v>
      </c>
      <c r="F1253" s="358">
        <f t="shared" si="4"/>
        <v>1.8718245666117783</v>
      </c>
      <c r="G1253" s="487">
        <v>534.23810000000003</v>
      </c>
      <c r="H1253" s="325" t="s">
        <v>153</v>
      </c>
      <c r="I1253" s="326" t="s">
        <v>2373</v>
      </c>
      <c r="J1253" s="130" t="s">
        <v>98</v>
      </c>
      <c r="K1253" s="130" t="s">
        <v>1285</v>
      </c>
      <c r="L1253" s="148" t="s">
        <v>155</v>
      </c>
      <c r="M1253" s="130"/>
      <c r="N1253" s="130"/>
      <c r="O1253" s="130"/>
    </row>
    <row r="1254" spans="1:15" ht="16.5">
      <c r="A1254" s="481">
        <v>45856</v>
      </c>
      <c r="B1254" s="321" t="s">
        <v>2365</v>
      </c>
      <c r="C1254" s="322" t="s">
        <v>175</v>
      </c>
      <c r="D1254" s="323" t="s">
        <v>119</v>
      </c>
      <c r="E1254" s="321">
        <v>1000</v>
      </c>
      <c r="F1254" s="358">
        <f t="shared" si="4"/>
        <v>1.8718245666117783</v>
      </c>
      <c r="G1254" s="487">
        <v>534.23810000000003</v>
      </c>
      <c r="H1254" s="325" t="s">
        <v>153</v>
      </c>
      <c r="I1254" s="326" t="s">
        <v>2373</v>
      </c>
      <c r="J1254" s="130" t="s">
        <v>98</v>
      </c>
      <c r="K1254" s="130" t="s">
        <v>1285</v>
      </c>
      <c r="L1254" s="148" t="s">
        <v>155</v>
      </c>
      <c r="M1254" s="130"/>
      <c r="N1254" s="130"/>
      <c r="O1254" s="130"/>
    </row>
    <row r="1255" spans="1:15" ht="16.5">
      <c r="A1255" s="481">
        <v>45856</v>
      </c>
      <c r="B1255" s="321" t="s">
        <v>2366</v>
      </c>
      <c r="C1255" s="322" t="s">
        <v>175</v>
      </c>
      <c r="D1255" s="323" t="s">
        <v>119</v>
      </c>
      <c r="E1255" s="321">
        <v>1000</v>
      </c>
      <c r="F1255" s="358">
        <f t="shared" si="4"/>
        <v>1.8718245666117783</v>
      </c>
      <c r="G1255" s="491">
        <v>534.23810000000003</v>
      </c>
      <c r="H1255" s="325" t="s">
        <v>153</v>
      </c>
      <c r="I1255" s="326" t="s">
        <v>2373</v>
      </c>
      <c r="J1255" s="130" t="s">
        <v>98</v>
      </c>
      <c r="K1255" s="130" t="s">
        <v>1285</v>
      </c>
      <c r="L1255" s="148" t="s">
        <v>155</v>
      </c>
      <c r="M1255" s="130"/>
      <c r="N1255" s="130"/>
      <c r="O1255" s="130"/>
    </row>
    <row r="1256" spans="1:15" ht="16.5">
      <c r="A1256" s="481">
        <v>45856</v>
      </c>
      <c r="B1256" s="321" t="s">
        <v>2367</v>
      </c>
      <c r="C1256" s="322" t="s">
        <v>175</v>
      </c>
      <c r="D1256" s="323" t="s">
        <v>119</v>
      </c>
      <c r="E1256" s="321">
        <v>1000</v>
      </c>
      <c r="F1256" s="358">
        <f t="shared" si="4"/>
        <v>1.8718245666117783</v>
      </c>
      <c r="G1256" s="491">
        <v>534.23810000000003</v>
      </c>
      <c r="H1256" s="325" t="s">
        <v>153</v>
      </c>
      <c r="I1256" s="326" t="s">
        <v>2373</v>
      </c>
      <c r="J1256" s="130" t="s">
        <v>98</v>
      </c>
      <c r="K1256" s="130" t="s">
        <v>1285</v>
      </c>
      <c r="L1256" s="148" t="s">
        <v>155</v>
      </c>
      <c r="M1256" s="130"/>
      <c r="N1256" s="130"/>
      <c r="O1256" s="130"/>
    </row>
    <row r="1257" spans="1:15" ht="16.5">
      <c r="A1257" s="481">
        <v>45856</v>
      </c>
      <c r="B1257" s="321" t="s">
        <v>2356</v>
      </c>
      <c r="C1257" s="322" t="s">
        <v>175</v>
      </c>
      <c r="D1257" s="323" t="s">
        <v>119</v>
      </c>
      <c r="E1257" s="321">
        <v>1000</v>
      </c>
      <c r="F1257" s="358">
        <f t="shared" si="4"/>
        <v>1.8718245666117783</v>
      </c>
      <c r="G1257" s="491">
        <v>534.23810000000003</v>
      </c>
      <c r="H1257" s="325" t="s">
        <v>153</v>
      </c>
      <c r="I1257" s="326" t="s">
        <v>2373</v>
      </c>
      <c r="J1257" s="130" t="s">
        <v>98</v>
      </c>
      <c r="K1257" s="130" t="s">
        <v>1285</v>
      </c>
      <c r="L1257" s="148" t="s">
        <v>155</v>
      </c>
      <c r="M1257" s="130"/>
      <c r="N1257" s="130"/>
      <c r="O1257" s="130"/>
    </row>
    <row r="1258" spans="1:15" ht="16.5">
      <c r="A1258" s="481">
        <v>45859</v>
      </c>
      <c r="B1258" s="321" t="s">
        <v>2355</v>
      </c>
      <c r="C1258" s="322" t="s">
        <v>175</v>
      </c>
      <c r="D1258" s="323" t="s">
        <v>119</v>
      </c>
      <c r="E1258" s="321">
        <v>1000</v>
      </c>
      <c r="F1258" s="358">
        <f t="shared" si="4"/>
        <v>1.8718245666117783</v>
      </c>
      <c r="G1258" s="491">
        <v>534.23810000000003</v>
      </c>
      <c r="H1258" s="325" t="s">
        <v>153</v>
      </c>
      <c r="I1258" s="326" t="s">
        <v>2373</v>
      </c>
      <c r="J1258" s="130" t="s">
        <v>98</v>
      </c>
      <c r="K1258" s="130" t="s">
        <v>1285</v>
      </c>
      <c r="L1258" s="148" t="s">
        <v>155</v>
      </c>
      <c r="M1258" s="130"/>
      <c r="N1258" s="130"/>
      <c r="O1258" s="130"/>
    </row>
    <row r="1259" spans="1:15" ht="16.5">
      <c r="A1259" s="481">
        <v>45859</v>
      </c>
      <c r="B1259" s="321" t="s">
        <v>2356</v>
      </c>
      <c r="C1259" s="322" t="s">
        <v>175</v>
      </c>
      <c r="D1259" s="323" t="s">
        <v>119</v>
      </c>
      <c r="E1259" s="321">
        <v>1000</v>
      </c>
      <c r="F1259" s="358">
        <f t="shared" si="4"/>
        <v>1.8718245666117783</v>
      </c>
      <c r="G1259" s="491">
        <v>534.23810000000003</v>
      </c>
      <c r="H1259" s="325" t="s">
        <v>153</v>
      </c>
      <c r="I1259" s="326" t="s">
        <v>2373</v>
      </c>
      <c r="J1259" s="130" t="s">
        <v>98</v>
      </c>
      <c r="K1259" s="130" t="s">
        <v>1285</v>
      </c>
      <c r="L1259" s="148" t="s">
        <v>155</v>
      </c>
      <c r="M1259" s="130"/>
      <c r="N1259" s="130"/>
      <c r="O1259" s="130"/>
    </row>
    <row r="1260" spans="1:15" ht="16.5">
      <c r="A1260" s="481">
        <v>45859</v>
      </c>
      <c r="B1260" s="482" t="s">
        <v>2454</v>
      </c>
      <c r="C1260" s="482" t="s">
        <v>175</v>
      </c>
      <c r="D1260" s="482" t="s">
        <v>117</v>
      </c>
      <c r="E1260" s="379">
        <v>2000</v>
      </c>
      <c r="F1260" s="358">
        <f t="shared" si="4"/>
        <v>3.7436491332235566</v>
      </c>
      <c r="G1260" s="491">
        <v>534.23810000000003</v>
      </c>
      <c r="H1260" s="482" t="s">
        <v>193</v>
      </c>
      <c r="I1260" s="130" t="s">
        <v>2462</v>
      </c>
      <c r="J1260" s="130" t="s">
        <v>98</v>
      </c>
      <c r="K1260" s="130" t="s">
        <v>1285</v>
      </c>
      <c r="L1260" s="148" t="s">
        <v>155</v>
      </c>
      <c r="M1260" s="130"/>
      <c r="N1260" s="130"/>
      <c r="O1260" s="130"/>
    </row>
    <row r="1261" spans="1:15" ht="16.5">
      <c r="A1261" s="481">
        <v>45859</v>
      </c>
      <c r="B1261" s="482" t="s">
        <v>2455</v>
      </c>
      <c r="C1261" s="482" t="s">
        <v>175</v>
      </c>
      <c r="D1261" s="482" t="s">
        <v>117</v>
      </c>
      <c r="E1261" s="379">
        <v>1500</v>
      </c>
      <c r="F1261" s="358">
        <f t="shared" si="4"/>
        <v>2.8077368499176676</v>
      </c>
      <c r="G1261" s="491">
        <v>534.23810000000003</v>
      </c>
      <c r="H1261" s="482" t="s">
        <v>193</v>
      </c>
      <c r="I1261" s="130" t="s">
        <v>2462</v>
      </c>
      <c r="J1261" s="130" t="s">
        <v>98</v>
      </c>
      <c r="K1261" s="130" t="s">
        <v>1285</v>
      </c>
      <c r="L1261" s="148" t="s">
        <v>155</v>
      </c>
      <c r="M1261" s="130"/>
      <c r="N1261" s="130"/>
      <c r="O1261" s="130"/>
    </row>
    <row r="1262" spans="1:15" ht="16.5">
      <c r="A1262" s="481">
        <v>45859</v>
      </c>
      <c r="B1262" s="482" t="s">
        <v>2456</v>
      </c>
      <c r="C1262" s="482" t="s">
        <v>175</v>
      </c>
      <c r="D1262" s="482" t="s">
        <v>117</v>
      </c>
      <c r="E1262" s="379">
        <v>1500</v>
      </c>
      <c r="F1262" s="358">
        <f t="shared" si="4"/>
        <v>2.8077368499176676</v>
      </c>
      <c r="G1262" s="491">
        <v>534.23810000000003</v>
      </c>
      <c r="H1262" s="482" t="s">
        <v>193</v>
      </c>
      <c r="I1262" s="130" t="s">
        <v>2462</v>
      </c>
      <c r="J1262" s="130" t="s">
        <v>98</v>
      </c>
      <c r="K1262" s="130" t="s">
        <v>1285</v>
      </c>
      <c r="L1262" s="148" t="s">
        <v>155</v>
      </c>
      <c r="M1262" s="130"/>
      <c r="N1262" s="130"/>
      <c r="O1262" s="130"/>
    </row>
    <row r="1263" spans="1:15" ht="16.5">
      <c r="A1263" s="481">
        <v>45859</v>
      </c>
      <c r="B1263" s="482" t="s">
        <v>2457</v>
      </c>
      <c r="C1263" s="482" t="s">
        <v>175</v>
      </c>
      <c r="D1263" s="482" t="s">
        <v>117</v>
      </c>
      <c r="E1263" s="379">
        <v>2000</v>
      </c>
      <c r="F1263" s="358">
        <f t="shared" si="4"/>
        <v>3.7436491332235566</v>
      </c>
      <c r="G1263" s="491">
        <v>534.23810000000003</v>
      </c>
      <c r="H1263" s="482" t="s">
        <v>193</v>
      </c>
      <c r="I1263" s="130" t="s">
        <v>2462</v>
      </c>
      <c r="J1263" s="130" t="s">
        <v>98</v>
      </c>
      <c r="K1263" s="130" t="s">
        <v>1285</v>
      </c>
      <c r="L1263" s="148" t="s">
        <v>155</v>
      </c>
      <c r="M1263" s="130"/>
      <c r="N1263" s="130"/>
      <c r="O1263" s="130"/>
    </row>
    <row r="1264" spans="1:15" ht="16.5">
      <c r="A1264" s="481">
        <v>45859</v>
      </c>
      <c r="B1264" s="482" t="s">
        <v>2458</v>
      </c>
      <c r="C1264" s="482" t="s">
        <v>175</v>
      </c>
      <c r="D1264" s="482" t="s">
        <v>117</v>
      </c>
      <c r="E1264" s="379">
        <v>2000</v>
      </c>
      <c r="F1264" s="358">
        <f t="shared" si="4"/>
        <v>3.7436491332235566</v>
      </c>
      <c r="G1264" s="491">
        <v>534.23810000000003</v>
      </c>
      <c r="H1264" s="482" t="s">
        <v>193</v>
      </c>
      <c r="I1264" s="130" t="s">
        <v>2462</v>
      </c>
      <c r="J1264" s="130" t="s">
        <v>98</v>
      </c>
      <c r="K1264" s="130" t="s">
        <v>1285</v>
      </c>
      <c r="L1264" s="148" t="s">
        <v>155</v>
      </c>
      <c r="M1264" s="130"/>
      <c r="N1264" s="130"/>
      <c r="O1264" s="130"/>
    </row>
    <row r="1265" spans="1:15" ht="16.5">
      <c r="A1265" s="481">
        <v>45859</v>
      </c>
      <c r="B1265" s="482" t="s">
        <v>2459</v>
      </c>
      <c r="C1265" s="482" t="s">
        <v>175</v>
      </c>
      <c r="D1265" s="482" t="s">
        <v>117</v>
      </c>
      <c r="E1265" s="379">
        <v>1000</v>
      </c>
      <c r="F1265" s="358">
        <f t="shared" si="4"/>
        <v>1.8718245666117783</v>
      </c>
      <c r="G1265" s="491">
        <v>534.23810000000003</v>
      </c>
      <c r="H1265" s="482" t="s">
        <v>193</v>
      </c>
      <c r="I1265" s="130" t="s">
        <v>2462</v>
      </c>
      <c r="J1265" s="130" t="s">
        <v>98</v>
      </c>
      <c r="K1265" s="130" t="s">
        <v>1285</v>
      </c>
      <c r="L1265" s="148" t="s">
        <v>155</v>
      </c>
      <c r="M1265" s="130"/>
      <c r="N1265" s="130"/>
      <c r="O1265" s="130"/>
    </row>
    <row r="1266" spans="1:15" ht="16.5">
      <c r="A1266" s="481">
        <v>45859</v>
      </c>
      <c r="B1266" s="482" t="s">
        <v>931</v>
      </c>
      <c r="C1266" s="482" t="s">
        <v>172</v>
      </c>
      <c r="D1266" s="482" t="s">
        <v>118</v>
      </c>
      <c r="E1266" s="379">
        <v>31250</v>
      </c>
      <c r="F1266" s="358">
        <f t="shared" si="4"/>
        <v>58.494517706618076</v>
      </c>
      <c r="G1266" s="491">
        <v>534.23810000000003</v>
      </c>
      <c r="H1266" s="266" t="s">
        <v>193</v>
      </c>
      <c r="I1266" s="132" t="s">
        <v>2463</v>
      </c>
      <c r="J1266" s="130" t="s">
        <v>98</v>
      </c>
      <c r="K1266" s="130" t="s">
        <v>1285</v>
      </c>
      <c r="L1266" s="148" t="s">
        <v>155</v>
      </c>
      <c r="M1266" s="130"/>
      <c r="N1266" s="130"/>
      <c r="O1266" s="130"/>
    </row>
    <row r="1267" spans="1:15" ht="16.5">
      <c r="A1267" s="481">
        <v>45859</v>
      </c>
      <c r="B1267" s="185" t="s">
        <v>2473</v>
      </c>
      <c r="C1267" s="185" t="s">
        <v>175</v>
      </c>
      <c r="D1267" s="185" t="s">
        <v>117</v>
      </c>
      <c r="E1267" s="379">
        <v>2000</v>
      </c>
      <c r="F1267" s="358">
        <f t="shared" si="4"/>
        <v>3.7436491332235566</v>
      </c>
      <c r="G1267" s="491">
        <v>534.23810000000003</v>
      </c>
      <c r="H1267" s="185" t="s">
        <v>196</v>
      </c>
      <c r="I1267" s="185" t="s">
        <v>2480</v>
      </c>
      <c r="J1267" s="130" t="s">
        <v>98</v>
      </c>
      <c r="K1267" s="130" t="s">
        <v>1285</v>
      </c>
      <c r="L1267" s="148" t="s">
        <v>155</v>
      </c>
      <c r="M1267" s="130"/>
      <c r="N1267" s="130"/>
      <c r="O1267" s="130"/>
    </row>
    <row r="1268" spans="1:15" ht="16.5">
      <c r="A1268" s="481">
        <v>45859</v>
      </c>
      <c r="B1268" s="185" t="s">
        <v>2474</v>
      </c>
      <c r="C1268" s="185" t="s">
        <v>175</v>
      </c>
      <c r="D1268" s="185" t="s">
        <v>117</v>
      </c>
      <c r="E1268" s="379">
        <v>2000</v>
      </c>
      <c r="F1268" s="358">
        <f t="shared" si="4"/>
        <v>3.7436491332235566</v>
      </c>
      <c r="G1268" s="491">
        <v>534.23810000000003</v>
      </c>
      <c r="H1268" s="185" t="s">
        <v>196</v>
      </c>
      <c r="I1268" s="185" t="s">
        <v>2480</v>
      </c>
      <c r="J1268" s="130" t="s">
        <v>98</v>
      </c>
      <c r="K1268" s="130" t="s">
        <v>1285</v>
      </c>
      <c r="L1268" s="148" t="s">
        <v>155</v>
      </c>
      <c r="M1268" s="130"/>
      <c r="N1268" s="130"/>
      <c r="O1268" s="130"/>
    </row>
    <row r="1269" spans="1:15" ht="16.5">
      <c r="A1269" s="481">
        <v>45859</v>
      </c>
      <c r="B1269" s="185" t="s">
        <v>2475</v>
      </c>
      <c r="C1269" s="185" t="s">
        <v>175</v>
      </c>
      <c r="D1269" s="185" t="s">
        <v>117</v>
      </c>
      <c r="E1269" s="379">
        <v>3000</v>
      </c>
      <c r="F1269" s="358">
        <f t="shared" si="4"/>
        <v>5.6154736998353352</v>
      </c>
      <c r="G1269" s="491">
        <v>534.23810000000003</v>
      </c>
      <c r="H1269" s="185" t="s">
        <v>196</v>
      </c>
      <c r="I1269" s="185" t="s">
        <v>2480</v>
      </c>
      <c r="J1269" s="130" t="s">
        <v>98</v>
      </c>
      <c r="K1269" s="130" t="s">
        <v>1285</v>
      </c>
      <c r="L1269" s="148" t="s">
        <v>155</v>
      </c>
      <c r="M1269" s="130"/>
      <c r="N1269" s="130"/>
      <c r="O1269" s="130"/>
    </row>
    <row r="1270" spans="1:15" ht="16.5">
      <c r="A1270" s="481">
        <v>45859</v>
      </c>
      <c r="B1270" s="185" t="s">
        <v>931</v>
      </c>
      <c r="C1270" s="185" t="s">
        <v>172</v>
      </c>
      <c r="D1270" s="482" t="s">
        <v>118</v>
      </c>
      <c r="E1270" s="379">
        <v>31250</v>
      </c>
      <c r="F1270" s="358">
        <f t="shared" si="4"/>
        <v>58.494517706618076</v>
      </c>
      <c r="G1270" s="491">
        <v>534.23810000000003</v>
      </c>
      <c r="H1270" s="266" t="s">
        <v>196</v>
      </c>
      <c r="I1270" s="266" t="s">
        <v>2482</v>
      </c>
      <c r="J1270" s="130" t="s">
        <v>98</v>
      </c>
      <c r="K1270" s="130" t="s">
        <v>1285</v>
      </c>
      <c r="L1270" s="148" t="s">
        <v>155</v>
      </c>
      <c r="M1270" s="130"/>
      <c r="N1270" s="130"/>
      <c r="O1270" s="130"/>
    </row>
    <row r="1271" spans="1:15" ht="16.5">
      <c r="A1271" s="481">
        <v>45860</v>
      </c>
      <c r="B1271" s="321" t="s">
        <v>2355</v>
      </c>
      <c r="C1271" s="322" t="s">
        <v>175</v>
      </c>
      <c r="D1271" s="323" t="s">
        <v>119</v>
      </c>
      <c r="E1271" s="321">
        <v>1000</v>
      </c>
      <c r="F1271" s="358">
        <f t="shared" si="4"/>
        <v>1.8718245666117783</v>
      </c>
      <c r="G1271" s="491">
        <v>534.23810000000003</v>
      </c>
      <c r="H1271" s="325" t="s">
        <v>153</v>
      </c>
      <c r="I1271" s="326" t="s">
        <v>2373</v>
      </c>
      <c r="J1271" s="130" t="s">
        <v>98</v>
      </c>
      <c r="K1271" s="130" t="s">
        <v>1285</v>
      </c>
      <c r="L1271" s="148" t="s">
        <v>155</v>
      </c>
      <c r="M1271" s="130"/>
      <c r="N1271" s="130"/>
      <c r="O1271" s="130"/>
    </row>
    <row r="1272" spans="1:15" ht="16.5">
      <c r="A1272" s="481">
        <v>45860</v>
      </c>
      <c r="B1272" s="321" t="s">
        <v>2368</v>
      </c>
      <c r="C1272" s="322" t="s">
        <v>175</v>
      </c>
      <c r="D1272" s="323" t="s">
        <v>119</v>
      </c>
      <c r="E1272" s="321">
        <v>1000</v>
      </c>
      <c r="F1272" s="358">
        <f t="shared" si="4"/>
        <v>1.8718245666117783</v>
      </c>
      <c r="G1272" s="491">
        <v>534.23810000000003</v>
      </c>
      <c r="H1272" s="325" t="s">
        <v>153</v>
      </c>
      <c r="I1272" s="326" t="s">
        <v>2373</v>
      </c>
      <c r="J1272" s="130" t="s">
        <v>98</v>
      </c>
      <c r="K1272" s="130" t="s">
        <v>1285</v>
      </c>
      <c r="L1272" s="148" t="s">
        <v>155</v>
      </c>
      <c r="M1272" s="130"/>
      <c r="N1272" s="130"/>
      <c r="O1272" s="130"/>
    </row>
    <row r="1273" spans="1:15" ht="16.5">
      <c r="A1273" s="481">
        <v>45860</v>
      </c>
      <c r="B1273" s="482" t="s">
        <v>2405</v>
      </c>
      <c r="C1273" s="482" t="s">
        <v>175</v>
      </c>
      <c r="D1273" s="482" t="s">
        <v>118</v>
      </c>
      <c r="E1273" s="379">
        <v>1000</v>
      </c>
      <c r="F1273" s="358">
        <f t="shared" si="4"/>
        <v>1.8718245666117783</v>
      </c>
      <c r="G1273" s="491">
        <v>534.23810000000003</v>
      </c>
      <c r="H1273" s="482" t="s">
        <v>643</v>
      </c>
      <c r="I1273" s="130" t="s">
        <v>2434</v>
      </c>
      <c r="J1273" s="130" t="s">
        <v>98</v>
      </c>
      <c r="K1273" s="130" t="s">
        <v>1285</v>
      </c>
      <c r="L1273" s="148" t="s">
        <v>155</v>
      </c>
      <c r="M1273" s="130"/>
      <c r="N1273" s="130"/>
      <c r="O1273" s="130"/>
    </row>
    <row r="1274" spans="1:15" ht="16.5">
      <c r="A1274" s="481">
        <v>45860</v>
      </c>
      <c r="B1274" s="482" t="s">
        <v>2406</v>
      </c>
      <c r="C1274" s="482" t="s">
        <v>175</v>
      </c>
      <c r="D1274" s="482" t="s">
        <v>118</v>
      </c>
      <c r="E1274" s="379">
        <v>1000</v>
      </c>
      <c r="F1274" s="358">
        <f t="shared" si="4"/>
        <v>1.8718245666117783</v>
      </c>
      <c r="G1274" s="491">
        <v>534.23810000000003</v>
      </c>
      <c r="H1274" s="482" t="s">
        <v>643</v>
      </c>
      <c r="I1274" s="130" t="s">
        <v>2434</v>
      </c>
      <c r="J1274" s="130" t="s">
        <v>98</v>
      </c>
      <c r="K1274" s="130" t="s">
        <v>1285</v>
      </c>
      <c r="L1274" s="148" t="s">
        <v>155</v>
      </c>
      <c r="M1274" s="130"/>
      <c r="N1274" s="130"/>
      <c r="O1274" s="130"/>
    </row>
    <row r="1275" spans="1:15" ht="16.5">
      <c r="A1275" s="481">
        <v>45860</v>
      </c>
      <c r="B1275" s="482" t="s">
        <v>2407</v>
      </c>
      <c r="C1275" s="482" t="s">
        <v>175</v>
      </c>
      <c r="D1275" s="482" t="s">
        <v>118</v>
      </c>
      <c r="E1275" s="379">
        <v>1000</v>
      </c>
      <c r="F1275" s="358">
        <f t="shared" si="4"/>
        <v>1.8718245666117783</v>
      </c>
      <c r="G1275" s="491">
        <v>534.23810000000003</v>
      </c>
      <c r="H1275" s="482" t="s">
        <v>643</v>
      </c>
      <c r="I1275" s="130" t="s">
        <v>2434</v>
      </c>
      <c r="J1275" s="130" t="s">
        <v>98</v>
      </c>
      <c r="K1275" s="130" t="s">
        <v>1285</v>
      </c>
      <c r="L1275" s="148" t="s">
        <v>155</v>
      </c>
      <c r="M1275" s="130"/>
      <c r="N1275" s="130"/>
      <c r="O1275" s="130"/>
    </row>
    <row r="1276" spans="1:15" ht="16.5">
      <c r="A1276" s="481">
        <v>45860</v>
      </c>
      <c r="B1276" s="482" t="s">
        <v>2408</v>
      </c>
      <c r="C1276" s="482" t="s">
        <v>175</v>
      </c>
      <c r="D1276" s="482" t="s">
        <v>118</v>
      </c>
      <c r="E1276" s="379">
        <v>1000</v>
      </c>
      <c r="F1276" s="358">
        <f t="shared" si="4"/>
        <v>1.8718245666117783</v>
      </c>
      <c r="G1276" s="491">
        <v>534.23810000000003</v>
      </c>
      <c r="H1276" s="482" t="s">
        <v>643</v>
      </c>
      <c r="I1276" s="130" t="s">
        <v>2434</v>
      </c>
      <c r="J1276" s="130" t="s">
        <v>98</v>
      </c>
      <c r="K1276" s="130" t="s">
        <v>1285</v>
      </c>
      <c r="L1276" s="148" t="s">
        <v>155</v>
      </c>
      <c r="M1276" s="130"/>
      <c r="N1276" s="130"/>
      <c r="O1276" s="130"/>
    </row>
    <row r="1277" spans="1:15" ht="16.5">
      <c r="A1277" s="481">
        <v>45860</v>
      </c>
      <c r="B1277" s="482" t="s">
        <v>2409</v>
      </c>
      <c r="C1277" s="482" t="s">
        <v>175</v>
      </c>
      <c r="D1277" s="482" t="s">
        <v>118</v>
      </c>
      <c r="E1277" s="379">
        <v>1000</v>
      </c>
      <c r="F1277" s="358">
        <f t="shared" ref="F1277:F1282" si="5">E1277/G1277</f>
        <v>1.8718245666117783</v>
      </c>
      <c r="G1277" s="491">
        <v>534.23810000000003</v>
      </c>
      <c r="H1277" s="482" t="s">
        <v>643</v>
      </c>
      <c r="I1277" s="130" t="s">
        <v>2434</v>
      </c>
      <c r="J1277" s="130" t="s">
        <v>98</v>
      </c>
      <c r="K1277" s="130" t="s">
        <v>1285</v>
      </c>
      <c r="L1277" s="148" t="s">
        <v>155</v>
      </c>
      <c r="M1277" s="380"/>
      <c r="N1277" s="380"/>
      <c r="O1277" s="130"/>
    </row>
    <row r="1278" spans="1:15" ht="16.5">
      <c r="A1278" s="481">
        <v>45860</v>
      </c>
      <c r="B1278" s="185" t="s">
        <v>2664</v>
      </c>
      <c r="C1278" s="185" t="s">
        <v>152</v>
      </c>
      <c r="D1278" s="185" t="s">
        <v>117</v>
      </c>
      <c r="E1278" s="262">
        <v>5000</v>
      </c>
      <c r="F1278" s="358">
        <f t="shared" si="5"/>
        <v>9.3591228330588923</v>
      </c>
      <c r="G1278" s="491">
        <v>534.23810000000003</v>
      </c>
      <c r="H1278" s="261" t="s">
        <v>497</v>
      </c>
      <c r="I1278" s="185" t="s">
        <v>2500</v>
      </c>
      <c r="J1278" s="130" t="s">
        <v>98</v>
      </c>
      <c r="K1278" s="130" t="s">
        <v>1285</v>
      </c>
      <c r="L1278" s="148" t="s">
        <v>155</v>
      </c>
      <c r="M1278" s="130"/>
      <c r="N1278" s="130"/>
      <c r="O1278" s="130"/>
    </row>
    <row r="1279" spans="1:15" ht="16.5">
      <c r="A1279" s="481">
        <v>45860</v>
      </c>
      <c r="B1279" s="185" t="s">
        <v>2487</v>
      </c>
      <c r="C1279" s="261" t="s">
        <v>199</v>
      </c>
      <c r="D1279" s="261" t="s">
        <v>117</v>
      </c>
      <c r="E1279" s="262">
        <v>1000</v>
      </c>
      <c r="F1279" s="358">
        <f t="shared" si="5"/>
        <v>1.8718245666117783</v>
      </c>
      <c r="G1279" s="491">
        <v>534.23810000000003</v>
      </c>
      <c r="H1279" s="261" t="s">
        <v>497</v>
      </c>
      <c r="I1279" s="185" t="s">
        <v>2501</v>
      </c>
      <c r="J1279" s="130" t="s">
        <v>98</v>
      </c>
      <c r="K1279" s="130" t="s">
        <v>1285</v>
      </c>
      <c r="L1279" s="148" t="s">
        <v>155</v>
      </c>
      <c r="M1279" s="130"/>
      <c r="N1279" s="130"/>
      <c r="O1279" s="130"/>
    </row>
    <row r="1280" spans="1:15" ht="16.5">
      <c r="A1280" s="481">
        <v>45860</v>
      </c>
      <c r="B1280" s="185" t="s">
        <v>1574</v>
      </c>
      <c r="C1280" s="261" t="s">
        <v>199</v>
      </c>
      <c r="D1280" s="261" t="s">
        <v>117</v>
      </c>
      <c r="E1280" s="262">
        <v>7000</v>
      </c>
      <c r="F1280" s="358">
        <f t="shared" si="5"/>
        <v>13.102771966282448</v>
      </c>
      <c r="G1280" s="491">
        <v>534.23810000000003</v>
      </c>
      <c r="H1280" s="261" t="s">
        <v>497</v>
      </c>
      <c r="I1280" s="185" t="s">
        <v>2502</v>
      </c>
      <c r="J1280" s="130" t="s">
        <v>98</v>
      </c>
      <c r="K1280" s="130" t="s">
        <v>1285</v>
      </c>
      <c r="L1280" s="148" t="s">
        <v>155</v>
      </c>
      <c r="M1280" s="130"/>
      <c r="N1280" s="130"/>
      <c r="O1280" s="130"/>
    </row>
    <row r="1281" spans="1:15" ht="16.5">
      <c r="A1281" s="481">
        <v>45860</v>
      </c>
      <c r="B1281" s="185" t="s">
        <v>2488</v>
      </c>
      <c r="C1281" s="261" t="s">
        <v>199</v>
      </c>
      <c r="D1281" s="261" t="s">
        <v>117</v>
      </c>
      <c r="E1281" s="262">
        <v>1000</v>
      </c>
      <c r="F1281" s="358">
        <f t="shared" si="5"/>
        <v>1.8718245666117783</v>
      </c>
      <c r="G1281" s="491">
        <v>534.23810000000003</v>
      </c>
      <c r="H1281" s="261" t="s">
        <v>497</v>
      </c>
      <c r="I1281" s="185" t="s">
        <v>2501</v>
      </c>
      <c r="J1281" s="130" t="s">
        <v>98</v>
      </c>
      <c r="K1281" s="130" t="s">
        <v>1285</v>
      </c>
      <c r="L1281" s="148" t="s">
        <v>155</v>
      </c>
      <c r="M1281" s="130"/>
      <c r="N1281" s="130"/>
      <c r="O1281" s="130"/>
    </row>
    <row r="1282" spans="1:15" ht="16.5">
      <c r="A1282" s="481">
        <v>45860</v>
      </c>
      <c r="B1282" s="482" t="s">
        <v>2508</v>
      </c>
      <c r="C1282" s="185" t="s">
        <v>175</v>
      </c>
      <c r="D1282" s="492" t="s">
        <v>120</v>
      </c>
      <c r="E1282" s="490">
        <v>1000</v>
      </c>
      <c r="F1282" s="358">
        <f t="shared" si="5"/>
        <v>1.8718245666117783</v>
      </c>
      <c r="G1282" s="491">
        <v>534.23810000000003</v>
      </c>
      <c r="H1282" s="482" t="s">
        <v>217</v>
      </c>
      <c r="I1282" s="130" t="s">
        <v>2523</v>
      </c>
      <c r="J1282" s="130" t="s">
        <v>98</v>
      </c>
      <c r="K1282" s="130" t="s">
        <v>1285</v>
      </c>
      <c r="L1282" s="148" t="s">
        <v>155</v>
      </c>
      <c r="M1282" s="130"/>
      <c r="N1282" s="130"/>
      <c r="O1282" s="130"/>
    </row>
    <row r="1283" spans="1:15" ht="16.5">
      <c r="A1283" s="481">
        <v>45860</v>
      </c>
      <c r="B1283" s="404" t="s">
        <v>2584</v>
      </c>
      <c r="C1283" s="183" t="s">
        <v>125</v>
      </c>
      <c r="D1283" s="183"/>
      <c r="E1283" s="478"/>
      <c r="F1283" s="358"/>
      <c r="G1283" s="493">
        <f>+M1283/N1283</f>
        <v>537.75419999999997</v>
      </c>
      <c r="H1283" s="482" t="s">
        <v>148</v>
      </c>
      <c r="I1283" s="130" t="s">
        <v>2612</v>
      </c>
      <c r="J1283" s="130" t="s">
        <v>98</v>
      </c>
      <c r="K1283" s="130" t="s">
        <v>2638</v>
      </c>
      <c r="L1283" s="148" t="s">
        <v>155</v>
      </c>
      <c r="M1283" s="380">
        <v>5377542</v>
      </c>
      <c r="N1283" s="130">
        <v>10000</v>
      </c>
      <c r="O1283" s="130"/>
    </row>
    <row r="1284" spans="1:15" ht="16.5">
      <c r="A1284" s="481">
        <v>45861</v>
      </c>
      <c r="B1284" s="321" t="s">
        <v>2355</v>
      </c>
      <c r="C1284" s="322" t="s">
        <v>175</v>
      </c>
      <c r="D1284" s="323" t="s">
        <v>119</v>
      </c>
      <c r="E1284" s="321">
        <v>1000</v>
      </c>
      <c r="F1284" s="358">
        <f t="shared" ref="F1284:F1347" si="6">E1284/G1284</f>
        <v>1.8595856619994786</v>
      </c>
      <c r="G1284" s="491">
        <v>537.75419999999997</v>
      </c>
      <c r="H1284" s="325" t="s">
        <v>153</v>
      </c>
      <c r="I1284" s="326" t="s">
        <v>2373</v>
      </c>
      <c r="J1284" s="130" t="s">
        <v>98</v>
      </c>
      <c r="K1284" s="130" t="s">
        <v>2638</v>
      </c>
      <c r="L1284" s="148" t="s">
        <v>155</v>
      </c>
      <c r="M1284" s="130"/>
      <c r="N1284" s="130"/>
      <c r="O1284" s="130"/>
    </row>
    <row r="1285" spans="1:15" ht="16.5">
      <c r="A1285" s="481">
        <v>45861</v>
      </c>
      <c r="B1285" s="321" t="s">
        <v>2356</v>
      </c>
      <c r="C1285" s="322" t="s">
        <v>175</v>
      </c>
      <c r="D1285" s="323" t="s">
        <v>119</v>
      </c>
      <c r="E1285" s="321">
        <v>1000</v>
      </c>
      <c r="F1285" s="358">
        <f t="shared" si="6"/>
        <v>1.8595856619994786</v>
      </c>
      <c r="G1285" s="491">
        <v>537.75419999999997</v>
      </c>
      <c r="H1285" s="325" t="s">
        <v>153</v>
      </c>
      <c r="I1285" s="326" t="s">
        <v>2373</v>
      </c>
      <c r="J1285" s="130" t="s">
        <v>98</v>
      </c>
      <c r="K1285" s="130" t="s">
        <v>2638</v>
      </c>
      <c r="L1285" s="148" t="s">
        <v>155</v>
      </c>
      <c r="M1285" s="130"/>
      <c r="N1285" s="130"/>
      <c r="O1285" s="130"/>
    </row>
    <row r="1286" spans="1:15" ht="16.5">
      <c r="A1286" s="481">
        <v>45861</v>
      </c>
      <c r="B1286" s="185" t="s">
        <v>2489</v>
      </c>
      <c r="C1286" s="261" t="s">
        <v>199</v>
      </c>
      <c r="D1286" s="261" t="s">
        <v>117</v>
      </c>
      <c r="E1286" s="262">
        <v>1000</v>
      </c>
      <c r="F1286" s="358">
        <f t="shared" si="6"/>
        <v>1.8595856619994786</v>
      </c>
      <c r="G1286" s="491">
        <v>537.75419999999997</v>
      </c>
      <c r="H1286" s="261" t="s">
        <v>497</v>
      </c>
      <c r="I1286" s="185" t="s">
        <v>2501</v>
      </c>
      <c r="J1286" s="130" t="s">
        <v>98</v>
      </c>
      <c r="K1286" s="130" t="s">
        <v>2638</v>
      </c>
      <c r="L1286" s="148" t="s">
        <v>155</v>
      </c>
      <c r="M1286" s="130"/>
      <c r="N1286" s="130"/>
      <c r="O1286" s="130"/>
    </row>
    <row r="1287" spans="1:15" ht="16.5">
      <c r="A1287" s="481">
        <v>45861</v>
      </c>
      <c r="B1287" s="185" t="s">
        <v>2490</v>
      </c>
      <c r="C1287" s="261" t="s">
        <v>199</v>
      </c>
      <c r="D1287" s="261" t="s">
        <v>117</v>
      </c>
      <c r="E1287" s="262">
        <v>500</v>
      </c>
      <c r="F1287" s="358">
        <f t="shared" si="6"/>
        <v>0.92979283099973931</v>
      </c>
      <c r="G1287" s="491">
        <v>537.75419999999997</v>
      </c>
      <c r="H1287" s="261" t="s">
        <v>497</v>
      </c>
      <c r="I1287" s="185" t="s">
        <v>2501</v>
      </c>
      <c r="J1287" s="130" t="s">
        <v>98</v>
      </c>
      <c r="K1287" s="130" t="s">
        <v>2638</v>
      </c>
      <c r="L1287" s="148" t="s">
        <v>155</v>
      </c>
      <c r="M1287" s="130"/>
      <c r="N1287" s="130"/>
      <c r="O1287" s="130"/>
    </row>
    <row r="1288" spans="1:15" ht="16.5">
      <c r="A1288" s="481">
        <v>45861</v>
      </c>
      <c r="B1288" s="265" t="s">
        <v>2491</v>
      </c>
      <c r="C1288" s="265" t="s">
        <v>179</v>
      </c>
      <c r="D1288" s="265" t="s">
        <v>117</v>
      </c>
      <c r="E1288" s="262">
        <v>20000</v>
      </c>
      <c r="F1288" s="358">
        <f t="shared" si="6"/>
        <v>37.191713239989575</v>
      </c>
      <c r="G1288" s="491">
        <v>537.75419999999997</v>
      </c>
      <c r="H1288" s="261" t="s">
        <v>497</v>
      </c>
      <c r="I1288" s="185" t="s">
        <v>2503</v>
      </c>
      <c r="J1288" s="130" t="s">
        <v>98</v>
      </c>
      <c r="K1288" s="130" t="s">
        <v>2638</v>
      </c>
      <c r="L1288" s="148" t="s">
        <v>155</v>
      </c>
      <c r="M1288" s="130"/>
      <c r="N1288" s="130"/>
      <c r="O1288" s="130"/>
    </row>
    <row r="1289" spans="1:15" ht="16.5">
      <c r="A1289" s="481">
        <v>45862</v>
      </c>
      <c r="B1289" s="321" t="s">
        <v>2355</v>
      </c>
      <c r="C1289" s="322" t="s">
        <v>175</v>
      </c>
      <c r="D1289" s="323" t="s">
        <v>119</v>
      </c>
      <c r="E1289" s="321">
        <v>1000</v>
      </c>
      <c r="F1289" s="358">
        <f t="shared" si="6"/>
        <v>1.8595856619994786</v>
      </c>
      <c r="G1289" s="491">
        <v>537.75419999999997</v>
      </c>
      <c r="H1289" s="325" t="s">
        <v>153</v>
      </c>
      <c r="I1289" s="326" t="s">
        <v>2373</v>
      </c>
      <c r="J1289" s="130" t="s">
        <v>98</v>
      </c>
      <c r="K1289" s="130" t="s">
        <v>2638</v>
      </c>
      <c r="L1289" s="148" t="s">
        <v>155</v>
      </c>
      <c r="M1289" s="130"/>
      <c r="N1289" s="130"/>
      <c r="O1289" s="130"/>
    </row>
    <row r="1290" spans="1:15" ht="16.5">
      <c r="A1290" s="481">
        <v>45862</v>
      </c>
      <c r="B1290" s="321" t="s">
        <v>2356</v>
      </c>
      <c r="C1290" s="322" t="s">
        <v>175</v>
      </c>
      <c r="D1290" s="323" t="s">
        <v>119</v>
      </c>
      <c r="E1290" s="321">
        <v>1000</v>
      </c>
      <c r="F1290" s="358">
        <f t="shared" si="6"/>
        <v>1.8595856619994786</v>
      </c>
      <c r="G1290" s="491">
        <v>537.75419999999997</v>
      </c>
      <c r="H1290" s="325" t="s">
        <v>153</v>
      </c>
      <c r="I1290" s="326" t="s">
        <v>2373</v>
      </c>
      <c r="J1290" s="130" t="s">
        <v>98</v>
      </c>
      <c r="K1290" s="130" t="s">
        <v>2638</v>
      </c>
      <c r="L1290" s="148" t="s">
        <v>155</v>
      </c>
      <c r="M1290" s="130"/>
      <c r="N1290" s="130"/>
      <c r="O1290" s="130"/>
    </row>
    <row r="1291" spans="1:15" ht="16.5">
      <c r="A1291" s="481">
        <v>45862</v>
      </c>
      <c r="B1291" s="484" t="s">
        <v>2381</v>
      </c>
      <c r="C1291" s="485" t="s">
        <v>175</v>
      </c>
      <c r="D1291" s="484" t="s">
        <v>117</v>
      </c>
      <c r="E1291" s="485">
        <v>1000</v>
      </c>
      <c r="F1291" s="358">
        <f t="shared" si="6"/>
        <v>1.8595856619994786</v>
      </c>
      <c r="G1291" s="491">
        <v>537.75419999999997</v>
      </c>
      <c r="H1291" s="486" t="s">
        <v>203</v>
      </c>
      <c r="I1291" s="335" t="s">
        <v>2387</v>
      </c>
      <c r="J1291" s="130" t="s">
        <v>98</v>
      </c>
      <c r="K1291" s="130" t="s">
        <v>2638</v>
      </c>
      <c r="L1291" s="148" t="s">
        <v>155</v>
      </c>
      <c r="M1291" s="130"/>
      <c r="N1291" s="130"/>
      <c r="O1291" s="130"/>
    </row>
    <row r="1292" spans="1:15" ht="16.5">
      <c r="A1292" s="481">
        <v>45862</v>
      </c>
      <c r="B1292" s="484" t="s">
        <v>2382</v>
      </c>
      <c r="C1292" s="485" t="s">
        <v>175</v>
      </c>
      <c r="D1292" s="484" t="s">
        <v>117</v>
      </c>
      <c r="E1292" s="485">
        <v>1000</v>
      </c>
      <c r="F1292" s="358">
        <f t="shared" si="6"/>
        <v>1.8595856619994786</v>
      </c>
      <c r="G1292" s="491">
        <v>537.75419999999997</v>
      </c>
      <c r="H1292" s="486" t="s">
        <v>203</v>
      </c>
      <c r="I1292" s="335" t="s">
        <v>2387</v>
      </c>
      <c r="J1292" s="130" t="s">
        <v>98</v>
      </c>
      <c r="K1292" s="130" t="s">
        <v>2638</v>
      </c>
      <c r="L1292" s="148" t="s">
        <v>155</v>
      </c>
      <c r="M1292" s="130"/>
      <c r="N1292" s="130"/>
      <c r="O1292" s="130"/>
    </row>
    <row r="1293" spans="1:15" ht="16.5">
      <c r="A1293" s="481">
        <v>45862</v>
      </c>
      <c r="B1293" s="484" t="s">
        <v>2383</v>
      </c>
      <c r="C1293" s="485" t="s">
        <v>175</v>
      </c>
      <c r="D1293" s="484" t="s">
        <v>117</v>
      </c>
      <c r="E1293" s="485">
        <v>1000</v>
      </c>
      <c r="F1293" s="358">
        <f t="shared" si="6"/>
        <v>1.8595856619994786</v>
      </c>
      <c r="G1293" s="491">
        <v>537.75419999999997</v>
      </c>
      <c r="H1293" s="486" t="s">
        <v>203</v>
      </c>
      <c r="I1293" s="335" t="s">
        <v>2387</v>
      </c>
      <c r="J1293" s="130" t="s">
        <v>98</v>
      </c>
      <c r="K1293" s="130" t="s">
        <v>2638</v>
      </c>
      <c r="L1293" s="148" t="s">
        <v>155</v>
      </c>
      <c r="M1293" s="130"/>
      <c r="N1293" s="130"/>
      <c r="O1293" s="130"/>
    </row>
    <row r="1294" spans="1:15" ht="16.5">
      <c r="A1294" s="481">
        <v>45862</v>
      </c>
      <c r="B1294" s="484" t="s">
        <v>2384</v>
      </c>
      <c r="C1294" s="485" t="s">
        <v>175</v>
      </c>
      <c r="D1294" s="484" t="s">
        <v>117</v>
      </c>
      <c r="E1294" s="485">
        <v>1000</v>
      </c>
      <c r="F1294" s="358">
        <f t="shared" si="6"/>
        <v>1.8595856619994786</v>
      </c>
      <c r="G1294" s="491">
        <v>537.75419999999997</v>
      </c>
      <c r="H1294" s="486" t="s">
        <v>203</v>
      </c>
      <c r="I1294" s="335" t="s">
        <v>2387</v>
      </c>
      <c r="J1294" s="130" t="s">
        <v>98</v>
      </c>
      <c r="K1294" s="130" t="s">
        <v>2638</v>
      </c>
      <c r="L1294" s="148" t="s">
        <v>155</v>
      </c>
      <c r="M1294" s="130"/>
      <c r="N1294" s="130"/>
      <c r="O1294" s="130"/>
    </row>
    <row r="1295" spans="1:15" ht="16.5">
      <c r="A1295" s="481">
        <v>45862</v>
      </c>
      <c r="B1295" s="482" t="s">
        <v>2410</v>
      </c>
      <c r="C1295" s="482" t="s">
        <v>175</v>
      </c>
      <c r="D1295" s="482" t="s">
        <v>118</v>
      </c>
      <c r="E1295" s="379">
        <v>1000</v>
      </c>
      <c r="F1295" s="358">
        <f t="shared" si="6"/>
        <v>1.8595856619994786</v>
      </c>
      <c r="G1295" s="491">
        <v>537.75419999999997</v>
      </c>
      <c r="H1295" s="482" t="s">
        <v>643</v>
      </c>
      <c r="I1295" s="130" t="s">
        <v>2434</v>
      </c>
      <c r="J1295" s="130" t="s">
        <v>98</v>
      </c>
      <c r="K1295" s="130" t="s">
        <v>2638</v>
      </c>
      <c r="L1295" s="148" t="s">
        <v>155</v>
      </c>
      <c r="M1295" s="148"/>
      <c r="N1295" s="130"/>
      <c r="O1295" s="130"/>
    </row>
    <row r="1296" spans="1:15" ht="16.5">
      <c r="A1296" s="481">
        <v>45862</v>
      </c>
      <c r="B1296" s="482" t="s">
        <v>2411</v>
      </c>
      <c r="C1296" s="482" t="s">
        <v>175</v>
      </c>
      <c r="D1296" s="482" t="s">
        <v>118</v>
      </c>
      <c r="E1296" s="379">
        <v>1000</v>
      </c>
      <c r="F1296" s="358">
        <f t="shared" si="6"/>
        <v>1.8595856619994786</v>
      </c>
      <c r="G1296" s="491">
        <v>537.75419999999997</v>
      </c>
      <c r="H1296" s="482" t="s">
        <v>643</v>
      </c>
      <c r="I1296" s="130" t="s">
        <v>2434</v>
      </c>
      <c r="J1296" s="130" t="s">
        <v>98</v>
      </c>
      <c r="K1296" s="130" t="s">
        <v>2638</v>
      </c>
      <c r="L1296" s="148" t="s">
        <v>155</v>
      </c>
      <c r="M1296" s="130"/>
      <c r="N1296" s="130"/>
      <c r="O1296" s="130"/>
    </row>
    <row r="1297" spans="1:15" ht="16.5">
      <c r="A1297" s="481">
        <v>45862</v>
      </c>
      <c r="B1297" s="482" t="s">
        <v>2412</v>
      </c>
      <c r="C1297" s="482" t="s">
        <v>175</v>
      </c>
      <c r="D1297" s="482" t="s">
        <v>118</v>
      </c>
      <c r="E1297" s="379">
        <v>1000</v>
      </c>
      <c r="F1297" s="358">
        <f t="shared" si="6"/>
        <v>1.8595856619994786</v>
      </c>
      <c r="G1297" s="491">
        <v>537.75419999999997</v>
      </c>
      <c r="H1297" s="482" t="s">
        <v>643</v>
      </c>
      <c r="I1297" s="130" t="s">
        <v>2434</v>
      </c>
      <c r="J1297" s="130" t="s">
        <v>98</v>
      </c>
      <c r="K1297" s="130" t="s">
        <v>2638</v>
      </c>
      <c r="L1297" s="148" t="s">
        <v>155</v>
      </c>
      <c r="M1297" s="130"/>
      <c r="N1297" s="130"/>
      <c r="O1297" s="130"/>
    </row>
    <row r="1298" spans="1:15" ht="16.5">
      <c r="A1298" s="481">
        <v>45862</v>
      </c>
      <c r="B1298" s="482" t="s">
        <v>2657</v>
      </c>
      <c r="C1298" s="482" t="s">
        <v>184</v>
      </c>
      <c r="D1298" s="482" t="s">
        <v>118</v>
      </c>
      <c r="E1298" s="379">
        <v>700</v>
      </c>
      <c r="F1298" s="358">
        <f t="shared" si="6"/>
        <v>1.3017099633996352</v>
      </c>
      <c r="G1298" s="491">
        <v>537.75419999999997</v>
      </c>
      <c r="H1298" s="482" t="s">
        <v>643</v>
      </c>
      <c r="I1298" s="130" t="s">
        <v>2438</v>
      </c>
      <c r="J1298" s="130" t="s">
        <v>98</v>
      </c>
      <c r="K1298" s="130" t="s">
        <v>2638</v>
      </c>
      <c r="L1298" s="148" t="s">
        <v>155</v>
      </c>
      <c r="M1298" s="130"/>
      <c r="N1298" s="130"/>
      <c r="O1298" s="130"/>
    </row>
    <row r="1299" spans="1:15" ht="16.5">
      <c r="A1299" s="481">
        <v>45862</v>
      </c>
      <c r="B1299" s="185" t="s">
        <v>2492</v>
      </c>
      <c r="C1299" s="261" t="s">
        <v>199</v>
      </c>
      <c r="D1299" s="261" t="s">
        <v>117</v>
      </c>
      <c r="E1299" s="262">
        <v>500</v>
      </c>
      <c r="F1299" s="358">
        <f t="shared" si="6"/>
        <v>0.92979283099973931</v>
      </c>
      <c r="G1299" s="491">
        <v>537.75419999999997</v>
      </c>
      <c r="H1299" s="261" t="s">
        <v>497</v>
      </c>
      <c r="I1299" s="185" t="s">
        <v>2501</v>
      </c>
      <c r="J1299" s="130" t="s">
        <v>98</v>
      </c>
      <c r="K1299" s="130" t="s">
        <v>2638</v>
      </c>
      <c r="L1299" s="148" t="s">
        <v>155</v>
      </c>
      <c r="M1299" s="130"/>
      <c r="N1299" s="130"/>
      <c r="O1299" s="130"/>
    </row>
    <row r="1300" spans="1:15" ht="16.5">
      <c r="A1300" s="481">
        <v>45862</v>
      </c>
      <c r="B1300" s="185" t="s">
        <v>2493</v>
      </c>
      <c r="C1300" s="261" t="s">
        <v>199</v>
      </c>
      <c r="D1300" s="261" t="s">
        <v>117</v>
      </c>
      <c r="E1300" s="262">
        <v>500</v>
      </c>
      <c r="F1300" s="358">
        <f t="shared" si="6"/>
        <v>0.92979283099973931</v>
      </c>
      <c r="G1300" s="491">
        <v>537.75419999999997</v>
      </c>
      <c r="H1300" s="261" t="s">
        <v>497</v>
      </c>
      <c r="I1300" s="185" t="s">
        <v>2501</v>
      </c>
      <c r="J1300" s="130" t="s">
        <v>98</v>
      </c>
      <c r="K1300" s="130" t="s">
        <v>2638</v>
      </c>
      <c r="L1300" s="148" t="s">
        <v>155</v>
      </c>
      <c r="M1300" s="130"/>
      <c r="N1300" s="130"/>
      <c r="O1300" s="130"/>
    </row>
    <row r="1301" spans="1:15" ht="16.5">
      <c r="A1301" s="481">
        <v>45862</v>
      </c>
      <c r="B1301" s="185" t="s">
        <v>2494</v>
      </c>
      <c r="C1301" s="261" t="s">
        <v>199</v>
      </c>
      <c r="D1301" s="261" t="s">
        <v>117</v>
      </c>
      <c r="E1301" s="262">
        <v>500</v>
      </c>
      <c r="F1301" s="358">
        <f t="shared" si="6"/>
        <v>0.92979283099973931</v>
      </c>
      <c r="G1301" s="491">
        <v>537.75419999999997</v>
      </c>
      <c r="H1301" s="261" t="s">
        <v>497</v>
      </c>
      <c r="I1301" s="185" t="s">
        <v>2501</v>
      </c>
      <c r="J1301" s="130" t="s">
        <v>98</v>
      </c>
      <c r="K1301" s="130" t="s">
        <v>2638</v>
      </c>
      <c r="L1301" s="148" t="s">
        <v>155</v>
      </c>
      <c r="M1301" s="130"/>
      <c r="N1301" s="130"/>
      <c r="O1301" s="130"/>
    </row>
    <row r="1302" spans="1:15" ht="16.5">
      <c r="A1302" s="481">
        <v>45862</v>
      </c>
      <c r="B1302" s="185" t="s">
        <v>537</v>
      </c>
      <c r="C1302" s="261" t="s">
        <v>199</v>
      </c>
      <c r="D1302" s="261" t="s">
        <v>117</v>
      </c>
      <c r="E1302" s="262">
        <v>7000</v>
      </c>
      <c r="F1302" s="358">
        <f t="shared" si="6"/>
        <v>13.017099633996351</v>
      </c>
      <c r="G1302" s="491">
        <v>537.75419999999997</v>
      </c>
      <c r="H1302" s="261" t="s">
        <v>497</v>
      </c>
      <c r="I1302" s="185" t="s">
        <v>2505</v>
      </c>
      <c r="J1302" s="130" t="s">
        <v>98</v>
      </c>
      <c r="K1302" s="130" t="s">
        <v>2638</v>
      </c>
      <c r="L1302" s="148" t="s">
        <v>155</v>
      </c>
      <c r="M1302" s="130"/>
      <c r="N1302" s="130"/>
      <c r="O1302" s="130"/>
    </row>
    <row r="1303" spans="1:15" ht="16.5">
      <c r="A1303" s="481">
        <v>45863</v>
      </c>
      <c r="B1303" s="321" t="s">
        <v>2355</v>
      </c>
      <c r="C1303" s="322" t="s">
        <v>175</v>
      </c>
      <c r="D1303" s="323" t="s">
        <v>119</v>
      </c>
      <c r="E1303" s="321">
        <v>1000</v>
      </c>
      <c r="F1303" s="358">
        <f t="shared" si="6"/>
        <v>1.8595856619994786</v>
      </c>
      <c r="G1303" s="491">
        <v>537.75419999999997</v>
      </c>
      <c r="H1303" s="325" t="s">
        <v>153</v>
      </c>
      <c r="I1303" s="326" t="s">
        <v>2373</v>
      </c>
      <c r="J1303" s="130" t="s">
        <v>98</v>
      </c>
      <c r="K1303" s="130" t="s">
        <v>2638</v>
      </c>
      <c r="L1303" s="148" t="s">
        <v>155</v>
      </c>
      <c r="M1303" s="130"/>
      <c r="N1303" s="130"/>
      <c r="O1303" s="130"/>
    </row>
    <row r="1304" spans="1:15" ht="16.5">
      <c r="A1304" s="481">
        <v>45863</v>
      </c>
      <c r="B1304" s="321" t="s">
        <v>2356</v>
      </c>
      <c r="C1304" s="322" t="s">
        <v>175</v>
      </c>
      <c r="D1304" s="323" t="s">
        <v>119</v>
      </c>
      <c r="E1304" s="321">
        <v>1000</v>
      </c>
      <c r="F1304" s="358">
        <f t="shared" si="6"/>
        <v>1.8595856619994786</v>
      </c>
      <c r="G1304" s="491">
        <v>537.75419999999997</v>
      </c>
      <c r="H1304" s="325" t="s">
        <v>153</v>
      </c>
      <c r="I1304" s="326" t="s">
        <v>2373</v>
      </c>
      <c r="J1304" s="130" t="s">
        <v>98</v>
      </c>
      <c r="K1304" s="130" t="s">
        <v>2638</v>
      </c>
      <c r="L1304" s="148" t="s">
        <v>155</v>
      </c>
      <c r="M1304" s="130"/>
      <c r="N1304" s="130"/>
      <c r="O1304" s="130"/>
    </row>
    <row r="1305" spans="1:15" ht="16.5">
      <c r="A1305" s="481">
        <v>45863</v>
      </c>
      <c r="B1305" s="484" t="s">
        <v>2385</v>
      </c>
      <c r="C1305" s="485" t="s">
        <v>175</v>
      </c>
      <c r="D1305" s="484" t="s">
        <v>117</v>
      </c>
      <c r="E1305" s="485">
        <v>1000</v>
      </c>
      <c r="F1305" s="358">
        <f t="shared" si="6"/>
        <v>1.8595856619994786</v>
      </c>
      <c r="G1305" s="491">
        <v>537.75419999999997</v>
      </c>
      <c r="H1305" s="486" t="s">
        <v>203</v>
      </c>
      <c r="I1305" s="335" t="s">
        <v>2387</v>
      </c>
      <c r="J1305" s="130" t="s">
        <v>98</v>
      </c>
      <c r="K1305" s="130" t="s">
        <v>2638</v>
      </c>
      <c r="L1305" s="148" t="s">
        <v>155</v>
      </c>
      <c r="M1305" s="130"/>
      <c r="N1305" s="130"/>
      <c r="O1305" s="130"/>
    </row>
    <row r="1306" spans="1:15" ht="16.5">
      <c r="A1306" s="481">
        <v>45863</v>
      </c>
      <c r="B1306" s="484" t="s">
        <v>2386</v>
      </c>
      <c r="C1306" s="485" t="s">
        <v>175</v>
      </c>
      <c r="D1306" s="484" t="s">
        <v>117</v>
      </c>
      <c r="E1306" s="485">
        <v>1000</v>
      </c>
      <c r="F1306" s="358">
        <f t="shared" si="6"/>
        <v>1.8595856619994786</v>
      </c>
      <c r="G1306" s="491">
        <v>537.75419999999997</v>
      </c>
      <c r="H1306" s="486" t="s">
        <v>203</v>
      </c>
      <c r="I1306" s="335" t="s">
        <v>2387</v>
      </c>
      <c r="J1306" s="130" t="s">
        <v>98</v>
      </c>
      <c r="K1306" s="130" t="s">
        <v>2638</v>
      </c>
      <c r="L1306" s="148" t="s">
        <v>155</v>
      </c>
      <c r="M1306" s="130"/>
      <c r="N1306" s="130"/>
      <c r="O1306" s="130"/>
    </row>
    <row r="1307" spans="1:15" ht="16.5">
      <c r="A1307" s="481">
        <v>45863</v>
      </c>
      <c r="B1307" s="482" t="s">
        <v>2414</v>
      </c>
      <c r="C1307" s="482" t="s">
        <v>175</v>
      </c>
      <c r="D1307" s="482" t="s">
        <v>118</v>
      </c>
      <c r="E1307" s="379">
        <v>1000</v>
      </c>
      <c r="F1307" s="358">
        <f t="shared" si="6"/>
        <v>1.8595856619994786</v>
      </c>
      <c r="G1307" s="491">
        <v>537.75419999999997</v>
      </c>
      <c r="H1307" s="482" t="s">
        <v>643</v>
      </c>
      <c r="I1307" s="130" t="s">
        <v>2434</v>
      </c>
      <c r="J1307" s="130" t="s">
        <v>98</v>
      </c>
      <c r="K1307" s="130" t="s">
        <v>2638</v>
      </c>
      <c r="L1307" s="148" t="s">
        <v>155</v>
      </c>
      <c r="M1307" s="130"/>
      <c r="N1307" s="130"/>
      <c r="O1307" s="130"/>
    </row>
    <row r="1308" spans="1:15" ht="16.5">
      <c r="A1308" s="481">
        <v>45863</v>
      </c>
      <c r="B1308" s="482" t="s">
        <v>2415</v>
      </c>
      <c r="C1308" s="482" t="s">
        <v>175</v>
      </c>
      <c r="D1308" s="482" t="s">
        <v>118</v>
      </c>
      <c r="E1308" s="379">
        <v>1000</v>
      </c>
      <c r="F1308" s="358">
        <f t="shared" si="6"/>
        <v>1.8595856619994786</v>
      </c>
      <c r="G1308" s="491">
        <v>537.75419999999997</v>
      </c>
      <c r="H1308" s="482" t="s">
        <v>643</v>
      </c>
      <c r="I1308" s="130" t="s">
        <v>2434</v>
      </c>
      <c r="J1308" s="130" t="s">
        <v>98</v>
      </c>
      <c r="K1308" s="130" t="s">
        <v>2638</v>
      </c>
      <c r="L1308" s="148" t="s">
        <v>155</v>
      </c>
      <c r="M1308" s="130"/>
      <c r="N1308" s="130"/>
      <c r="O1308" s="130"/>
    </row>
    <row r="1309" spans="1:15" ht="16.5">
      <c r="A1309" s="481">
        <v>45863</v>
      </c>
      <c r="B1309" s="482" t="s">
        <v>2416</v>
      </c>
      <c r="C1309" s="482" t="s">
        <v>175</v>
      </c>
      <c r="D1309" s="482" t="s">
        <v>118</v>
      </c>
      <c r="E1309" s="379">
        <v>1000</v>
      </c>
      <c r="F1309" s="358">
        <f t="shared" si="6"/>
        <v>1.8595856619994786</v>
      </c>
      <c r="G1309" s="491">
        <v>537.75419999999997</v>
      </c>
      <c r="H1309" s="482" t="s">
        <v>643</v>
      </c>
      <c r="I1309" s="130" t="s">
        <v>2434</v>
      </c>
      <c r="J1309" s="130" t="s">
        <v>98</v>
      </c>
      <c r="K1309" s="130" t="s">
        <v>2638</v>
      </c>
      <c r="L1309" s="148" t="s">
        <v>155</v>
      </c>
      <c r="M1309" s="130"/>
      <c r="N1309" s="130"/>
      <c r="O1309" s="130"/>
    </row>
    <row r="1310" spans="1:15" ht="16.5">
      <c r="A1310" s="481">
        <v>45863</v>
      </c>
      <c r="B1310" s="482" t="s">
        <v>2417</v>
      </c>
      <c r="C1310" s="482" t="s">
        <v>175</v>
      </c>
      <c r="D1310" s="482" t="s">
        <v>118</v>
      </c>
      <c r="E1310" s="379">
        <v>1000</v>
      </c>
      <c r="F1310" s="358">
        <f t="shared" si="6"/>
        <v>1.8595856619994786</v>
      </c>
      <c r="G1310" s="491">
        <v>537.75419999999997</v>
      </c>
      <c r="H1310" s="482" t="s">
        <v>643</v>
      </c>
      <c r="I1310" s="130" t="s">
        <v>2434</v>
      </c>
      <c r="J1310" s="130" t="s">
        <v>98</v>
      </c>
      <c r="K1310" s="130" t="s">
        <v>2638</v>
      </c>
      <c r="L1310" s="148" t="s">
        <v>155</v>
      </c>
      <c r="M1310" s="130"/>
      <c r="N1310" s="130"/>
      <c r="O1310" s="130"/>
    </row>
    <row r="1311" spans="1:15" ht="16.5">
      <c r="A1311" s="481">
        <v>45863</v>
      </c>
      <c r="B1311" s="482" t="s">
        <v>2418</v>
      </c>
      <c r="C1311" s="482" t="s">
        <v>175</v>
      </c>
      <c r="D1311" s="482" t="s">
        <v>118</v>
      </c>
      <c r="E1311" s="379">
        <v>1000</v>
      </c>
      <c r="F1311" s="358">
        <f t="shared" si="6"/>
        <v>1.8595856619994786</v>
      </c>
      <c r="G1311" s="491">
        <v>537.75419999999997</v>
      </c>
      <c r="H1311" s="482" t="s">
        <v>643</v>
      </c>
      <c r="I1311" s="130" t="s">
        <v>2434</v>
      </c>
      <c r="J1311" s="130" t="s">
        <v>98</v>
      </c>
      <c r="K1311" s="130" t="s">
        <v>2638</v>
      </c>
      <c r="L1311" s="148" t="s">
        <v>155</v>
      </c>
      <c r="M1311" s="130"/>
      <c r="N1311" s="130"/>
      <c r="O1311" s="130"/>
    </row>
    <row r="1312" spans="1:15" ht="16.5">
      <c r="A1312" s="481">
        <v>45863</v>
      </c>
      <c r="B1312" s="482" t="s">
        <v>2419</v>
      </c>
      <c r="C1312" s="482" t="s">
        <v>175</v>
      </c>
      <c r="D1312" s="482" t="s">
        <v>118</v>
      </c>
      <c r="E1312" s="379">
        <v>1000</v>
      </c>
      <c r="F1312" s="358">
        <f t="shared" si="6"/>
        <v>1.8595856619994786</v>
      </c>
      <c r="G1312" s="491">
        <v>537.75419999999997</v>
      </c>
      <c r="H1312" s="482" t="s">
        <v>643</v>
      </c>
      <c r="I1312" s="130" t="s">
        <v>2434</v>
      </c>
      <c r="J1312" s="130" t="s">
        <v>98</v>
      </c>
      <c r="K1312" s="130" t="s">
        <v>2638</v>
      </c>
      <c r="L1312" s="148" t="s">
        <v>155</v>
      </c>
      <c r="M1312" s="130"/>
      <c r="N1312" s="130"/>
      <c r="O1312" s="130"/>
    </row>
    <row r="1313" spans="1:15" ht="16.5">
      <c r="A1313" s="481">
        <v>45863</v>
      </c>
      <c r="B1313" s="482" t="s">
        <v>2420</v>
      </c>
      <c r="C1313" s="482" t="s">
        <v>175</v>
      </c>
      <c r="D1313" s="482" t="s">
        <v>118</v>
      </c>
      <c r="E1313" s="379">
        <v>1000</v>
      </c>
      <c r="F1313" s="358">
        <f t="shared" si="6"/>
        <v>1.8595856619994786</v>
      </c>
      <c r="G1313" s="491">
        <v>537.75419999999997</v>
      </c>
      <c r="H1313" s="482" t="s">
        <v>643</v>
      </c>
      <c r="I1313" s="130" t="s">
        <v>2434</v>
      </c>
      <c r="J1313" s="130" t="s">
        <v>98</v>
      </c>
      <c r="K1313" s="130" t="s">
        <v>2638</v>
      </c>
      <c r="L1313" s="148" t="s">
        <v>155</v>
      </c>
      <c r="M1313" s="130"/>
      <c r="N1313" s="130"/>
      <c r="O1313" s="130"/>
    </row>
    <row r="1314" spans="1:15" ht="16.5">
      <c r="A1314" s="481">
        <v>45863</v>
      </c>
      <c r="B1314" s="482" t="s">
        <v>2658</v>
      </c>
      <c r="C1314" s="482" t="s">
        <v>126</v>
      </c>
      <c r="D1314" s="482" t="s">
        <v>118</v>
      </c>
      <c r="E1314" s="379">
        <v>71274</v>
      </c>
      <c r="F1314" s="358">
        <f t="shared" si="6"/>
        <v>132.54010847335084</v>
      </c>
      <c r="G1314" s="491">
        <v>537.75419999999997</v>
      </c>
      <c r="H1314" s="482" t="s">
        <v>643</v>
      </c>
      <c r="I1314" s="130" t="s">
        <v>2440</v>
      </c>
      <c r="J1314" s="130" t="s">
        <v>98</v>
      </c>
      <c r="K1314" s="130" t="s">
        <v>2638</v>
      </c>
      <c r="L1314" s="148" t="s">
        <v>155</v>
      </c>
      <c r="M1314" s="130"/>
      <c r="N1314" s="130"/>
      <c r="O1314" s="130"/>
    </row>
    <row r="1315" spans="1:15" ht="16.5">
      <c r="A1315" s="481">
        <v>45863</v>
      </c>
      <c r="B1315" s="265" t="s">
        <v>2495</v>
      </c>
      <c r="C1315" s="265" t="s">
        <v>179</v>
      </c>
      <c r="D1315" s="265" t="s">
        <v>117</v>
      </c>
      <c r="E1315" s="262">
        <v>30000</v>
      </c>
      <c r="F1315" s="358">
        <f t="shared" si="6"/>
        <v>55.787569859984359</v>
      </c>
      <c r="G1315" s="491">
        <v>537.75419999999997</v>
      </c>
      <c r="H1315" s="261" t="s">
        <v>497</v>
      </c>
      <c r="I1315" s="185" t="s">
        <v>2506</v>
      </c>
      <c r="J1315" s="130" t="s">
        <v>98</v>
      </c>
      <c r="K1315" s="130" t="s">
        <v>2638</v>
      </c>
      <c r="L1315" s="148" t="s">
        <v>155</v>
      </c>
      <c r="M1315" s="130"/>
      <c r="N1315" s="130"/>
      <c r="O1315" s="130"/>
    </row>
    <row r="1316" spans="1:15" ht="16.5">
      <c r="A1316" s="481">
        <v>45863</v>
      </c>
      <c r="B1316" s="185" t="s">
        <v>2496</v>
      </c>
      <c r="C1316" s="261" t="s">
        <v>199</v>
      </c>
      <c r="D1316" s="261" t="s">
        <v>117</v>
      </c>
      <c r="E1316" s="262">
        <v>500</v>
      </c>
      <c r="F1316" s="358">
        <f t="shared" si="6"/>
        <v>0.92979283099973931</v>
      </c>
      <c r="G1316" s="491">
        <v>537.75419999999997</v>
      </c>
      <c r="H1316" s="261" t="s">
        <v>497</v>
      </c>
      <c r="I1316" s="185" t="s">
        <v>2501</v>
      </c>
      <c r="J1316" s="130" t="s">
        <v>98</v>
      </c>
      <c r="K1316" s="130" t="s">
        <v>2638</v>
      </c>
      <c r="L1316" s="148" t="s">
        <v>155</v>
      </c>
      <c r="M1316" s="130"/>
      <c r="N1316" s="130"/>
      <c r="O1316" s="130"/>
    </row>
    <row r="1317" spans="1:15" ht="16.5">
      <c r="A1317" s="481">
        <v>45863</v>
      </c>
      <c r="B1317" s="185" t="s">
        <v>2488</v>
      </c>
      <c r="C1317" s="261" t="s">
        <v>199</v>
      </c>
      <c r="D1317" s="261" t="s">
        <v>117</v>
      </c>
      <c r="E1317" s="262">
        <v>1000</v>
      </c>
      <c r="F1317" s="358">
        <f t="shared" si="6"/>
        <v>1.8595856619994786</v>
      </c>
      <c r="G1317" s="491">
        <v>537.75419999999997</v>
      </c>
      <c r="H1317" s="261" t="s">
        <v>497</v>
      </c>
      <c r="I1317" s="185" t="s">
        <v>2501</v>
      </c>
      <c r="J1317" s="130" t="s">
        <v>98</v>
      </c>
      <c r="K1317" s="130" t="s">
        <v>2638</v>
      </c>
      <c r="L1317" s="148" t="s">
        <v>155</v>
      </c>
      <c r="M1317" s="130"/>
      <c r="N1317" s="130"/>
      <c r="O1317" s="130"/>
    </row>
    <row r="1318" spans="1:15" ht="16.5">
      <c r="A1318" s="481">
        <v>45863</v>
      </c>
      <c r="B1318" s="404" t="s">
        <v>2587</v>
      </c>
      <c r="C1318" s="183" t="s">
        <v>127</v>
      </c>
      <c r="D1318" s="183" t="s">
        <v>118</v>
      </c>
      <c r="E1318" s="478">
        <v>230000</v>
      </c>
      <c r="F1318" s="358">
        <f t="shared" si="6"/>
        <v>427.70470225988009</v>
      </c>
      <c r="G1318" s="491">
        <v>537.75419999999997</v>
      </c>
      <c r="H1318" s="482" t="s">
        <v>148</v>
      </c>
      <c r="I1318" s="130" t="s">
        <v>2588</v>
      </c>
      <c r="J1318" s="130" t="s">
        <v>98</v>
      </c>
      <c r="K1318" s="130" t="s">
        <v>2638</v>
      </c>
      <c r="L1318" s="148" t="s">
        <v>155</v>
      </c>
      <c r="M1318" s="130"/>
      <c r="N1318" s="130"/>
      <c r="O1318" s="130"/>
    </row>
    <row r="1319" spans="1:15" ht="16.5">
      <c r="A1319" s="481">
        <v>45863</v>
      </c>
      <c r="B1319" s="404" t="s">
        <v>2589</v>
      </c>
      <c r="C1319" s="183" t="s">
        <v>127</v>
      </c>
      <c r="D1319" s="489" t="s">
        <v>117</v>
      </c>
      <c r="E1319" s="478">
        <v>200000</v>
      </c>
      <c r="F1319" s="358">
        <f t="shared" si="6"/>
        <v>371.91713239989576</v>
      </c>
      <c r="G1319" s="491">
        <v>537.75419999999997</v>
      </c>
      <c r="H1319" s="482" t="s">
        <v>148</v>
      </c>
      <c r="I1319" s="130" t="s">
        <v>2590</v>
      </c>
      <c r="J1319" s="130" t="s">
        <v>98</v>
      </c>
      <c r="K1319" s="130" t="s">
        <v>2638</v>
      </c>
      <c r="L1319" s="148" t="s">
        <v>155</v>
      </c>
      <c r="M1319" s="130"/>
      <c r="N1319" s="130"/>
      <c r="O1319" s="130"/>
    </row>
    <row r="1320" spans="1:15" ht="16.5">
      <c r="A1320" s="481">
        <v>45863</v>
      </c>
      <c r="B1320" s="404" t="s">
        <v>2591</v>
      </c>
      <c r="C1320" s="483" t="s">
        <v>127</v>
      </c>
      <c r="D1320" s="488" t="s">
        <v>117</v>
      </c>
      <c r="E1320" s="478">
        <v>200000</v>
      </c>
      <c r="F1320" s="358">
        <f t="shared" si="6"/>
        <v>371.91713239989576</v>
      </c>
      <c r="G1320" s="491">
        <v>537.75419999999997</v>
      </c>
      <c r="H1320" s="482" t="s">
        <v>148</v>
      </c>
      <c r="I1320" s="130" t="s">
        <v>2592</v>
      </c>
      <c r="J1320" s="130" t="s">
        <v>98</v>
      </c>
      <c r="K1320" s="130" t="s">
        <v>2638</v>
      </c>
      <c r="L1320" s="148" t="s">
        <v>155</v>
      </c>
      <c r="M1320" s="130"/>
      <c r="N1320" s="130"/>
      <c r="O1320" s="130"/>
    </row>
    <row r="1321" spans="1:15" ht="16.5">
      <c r="A1321" s="481">
        <v>45863</v>
      </c>
      <c r="B1321" s="404" t="s">
        <v>2593</v>
      </c>
      <c r="C1321" s="483" t="s">
        <v>127</v>
      </c>
      <c r="D1321" s="488" t="s">
        <v>117</v>
      </c>
      <c r="E1321" s="478">
        <v>1037411</v>
      </c>
      <c r="F1321" s="358">
        <f t="shared" si="6"/>
        <v>1929.1546212005412</v>
      </c>
      <c r="G1321" s="491">
        <v>537.75419999999997</v>
      </c>
      <c r="H1321" s="482" t="s">
        <v>148</v>
      </c>
      <c r="I1321" s="130" t="s">
        <v>2594</v>
      </c>
      <c r="J1321" s="130" t="s">
        <v>98</v>
      </c>
      <c r="K1321" s="130" t="s">
        <v>2638</v>
      </c>
      <c r="L1321" s="148" t="s">
        <v>155</v>
      </c>
      <c r="M1321" s="130"/>
      <c r="N1321" s="130"/>
      <c r="O1321" s="130"/>
    </row>
    <row r="1322" spans="1:15" ht="16.5">
      <c r="A1322" s="481">
        <v>45863</v>
      </c>
      <c r="B1322" s="404" t="s">
        <v>2595</v>
      </c>
      <c r="C1322" s="183" t="s">
        <v>127</v>
      </c>
      <c r="D1322" s="483" t="s">
        <v>117</v>
      </c>
      <c r="E1322" s="478">
        <v>300000</v>
      </c>
      <c r="F1322" s="358">
        <f t="shared" si="6"/>
        <v>557.87569859984364</v>
      </c>
      <c r="G1322" s="491">
        <v>537.75419999999997</v>
      </c>
      <c r="H1322" s="482" t="s">
        <v>148</v>
      </c>
      <c r="I1322" s="130" t="s">
        <v>2596</v>
      </c>
      <c r="J1322" s="130" t="s">
        <v>98</v>
      </c>
      <c r="K1322" s="130" t="s">
        <v>2638</v>
      </c>
      <c r="L1322" s="148" t="s">
        <v>155</v>
      </c>
      <c r="M1322" s="130"/>
      <c r="N1322" s="130"/>
      <c r="O1322" s="130"/>
    </row>
    <row r="1323" spans="1:15" ht="16.5">
      <c r="A1323" s="481">
        <v>45863</v>
      </c>
      <c r="B1323" s="404" t="s">
        <v>2597</v>
      </c>
      <c r="C1323" s="183" t="s">
        <v>127</v>
      </c>
      <c r="D1323" s="483" t="s">
        <v>120</v>
      </c>
      <c r="E1323" s="478">
        <v>238140</v>
      </c>
      <c r="F1323" s="358">
        <f t="shared" si="6"/>
        <v>442.84172954855586</v>
      </c>
      <c r="G1323" s="491">
        <v>537.75419999999997</v>
      </c>
      <c r="H1323" s="482" t="s">
        <v>148</v>
      </c>
      <c r="I1323" s="130" t="s">
        <v>2598</v>
      </c>
      <c r="J1323" s="130" t="s">
        <v>98</v>
      </c>
      <c r="K1323" s="130" t="s">
        <v>2638</v>
      </c>
      <c r="L1323" s="148" t="s">
        <v>155</v>
      </c>
      <c r="M1323" s="130"/>
      <c r="N1323" s="130"/>
      <c r="O1323" s="130"/>
    </row>
    <row r="1324" spans="1:15" ht="16.5">
      <c r="A1324" s="481">
        <v>45863</v>
      </c>
      <c r="B1324" s="404" t="s">
        <v>2599</v>
      </c>
      <c r="C1324" s="183" t="s">
        <v>127</v>
      </c>
      <c r="D1324" s="183" t="s">
        <v>117</v>
      </c>
      <c r="E1324" s="478">
        <v>70968</v>
      </c>
      <c r="F1324" s="358">
        <f t="shared" si="6"/>
        <v>131.971075260779</v>
      </c>
      <c r="G1324" s="491">
        <v>537.75419999999997</v>
      </c>
      <c r="H1324" s="482" t="s">
        <v>148</v>
      </c>
      <c r="I1324" s="130" t="s">
        <v>2600</v>
      </c>
      <c r="J1324" s="130" t="s">
        <v>98</v>
      </c>
      <c r="K1324" s="130" t="s">
        <v>2638</v>
      </c>
      <c r="L1324" s="148" t="s">
        <v>155</v>
      </c>
      <c r="M1324" s="130"/>
      <c r="N1324" s="130"/>
      <c r="O1324" s="130"/>
    </row>
    <row r="1325" spans="1:15" ht="16.5">
      <c r="A1325" s="481">
        <v>45863</v>
      </c>
      <c r="B1325" s="404" t="s">
        <v>2567</v>
      </c>
      <c r="C1325" s="483" t="s">
        <v>128</v>
      </c>
      <c r="D1325" s="488" t="s">
        <v>118</v>
      </c>
      <c r="E1325" s="478">
        <v>10665</v>
      </c>
      <c r="F1325" s="358">
        <f t="shared" si="6"/>
        <v>19.83248108522444</v>
      </c>
      <c r="G1325" s="491">
        <v>537.75419999999997</v>
      </c>
      <c r="H1325" s="482" t="s">
        <v>148</v>
      </c>
      <c r="I1325" s="130" t="s">
        <v>2604</v>
      </c>
      <c r="J1325" s="130" t="s">
        <v>98</v>
      </c>
      <c r="K1325" s="130" t="s">
        <v>2638</v>
      </c>
      <c r="L1325" s="148" t="s">
        <v>155</v>
      </c>
      <c r="M1325" s="130"/>
      <c r="N1325" s="130"/>
      <c r="O1325" s="130"/>
    </row>
    <row r="1326" spans="1:15" ht="16.5">
      <c r="A1326" s="481">
        <v>45866</v>
      </c>
      <c r="B1326" s="321" t="s">
        <v>2355</v>
      </c>
      <c r="C1326" s="322" t="s">
        <v>175</v>
      </c>
      <c r="D1326" s="323" t="s">
        <v>119</v>
      </c>
      <c r="E1326" s="321">
        <v>1000</v>
      </c>
      <c r="F1326" s="358">
        <f t="shared" si="6"/>
        <v>1.8595856619994786</v>
      </c>
      <c r="G1326" s="491">
        <v>537.75419999999997</v>
      </c>
      <c r="H1326" s="325" t="s">
        <v>153</v>
      </c>
      <c r="I1326" s="326" t="s">
        <v>2373</v>
      </c>
      <c r="J1326" s="130" t="s">
        <v>98</v>
      </c>
      <c r="K1326" s="130" t="s">
        <v>2638</v>
      </c>
      <c r="L1326" s="148" t="s">
        <v>155</v>
      </c>
      <c r="M1326" s="130"/>
      <c r="N1326" s="130"/>
      <c r="O1326" s="130"/>
    </row>
    <row r="1327" spans="1:15" ht="16.5">
      <c r="A1327" s="481">
        <v>45866</v>
      </c>
      <c r="B1327" s="321" t="s">
        <v>2369</v>
      </c>
      <c r="C1327" s="322" t="s">
        <v>175</v>
      </c>
      <c r="D1327" s="323" t="s">
        <v>119</v>
      </c>
      <c r="E1327" s="321">
        <v>1000</v>
      </c>
      <c r="F1327" s="358">
        <f t="shared" si="6"/>
        <v>1.8595856619994786</v>
      </c>
      <c r="G1327" s="491">
        <v>537.75419999999997</v>
      </c>
      <c r="H1327" s="325" t="s">
        <v>153</v>
      </c>
      <c r="I1327" s="326" t="s">
        <v>2373</v>
      </c>
      <c r="J1327" s="130" t="s">
        <v>98</v>
      </c>
      <c r="K1327" s="130" t="s">
        <v>2638</v>
      </c>
      <c r="L1327" s="148" t="s">
        <v>155</v>
      </c>
      <c r="M1327" s="130"/>
      <c r="N1327" s="130"/>
      <c r="O1327" s="130"/>
    </row>
    <row r="1328" spans="1:15" ht="16.5">
      <c r="A1328" s="481">
        <v>45866</v>
      </c>
      <c r="B1328" s="321" t="s">
        <v>2370</v>
      </c>
      <c r="C1328" s="322" t="s">
        <v>175</v>
      </c>
      <c r="D1328" s="323" t="s">
        <v>119</v>
      </c>
      <c r="E1328" s="321">
        <v>1000</v>
      </c>
      <c r="F1328" s="358">
        <f t="shared" si="6"/>
        <v>1.8595856619994786</v>
      </c>
      <c r="G1328" s="491">
        <v>537.75419999999997</v>
      </c>
      <c r="H1328" s="325" t="s">
        <v>153</v>
      </c>
      <c r="I1328" s="326" t="s">
        <v>2373</v>
      </c>
      <c r="J1328" s="130" t="s">
        <v>98</v>
      </c>
      <c r="K1328" s="130" t="s">
        <v>2638</v>
      </c>
      <c r="L1328" s="148" t="s">
        <v>155</v>
      </c>
      <c r="M1328" s="148"/>
      <c r="N1328" s="148"/>
      <c r="O1328" s="130"/>
    </row>
    <row r="1329" spans="1:15" ht="16.5">
      <c r="A1329" s="481">
        <v>45866</v>
      </c>
      <c r="B1329" s="321" t="s">
        <v>2356</v>
      </c>
      <c r="C1329" s="322" t="s">
        <v>175</v>
      </c>
      <c r="D1329" s="323" t="s">
        <v>119</v>
      </c>
      <c r="E1329" s="321">
        <v>1000</v>
      </c>
      <c r="F1329" s="358">
        <f t="shared" si="6"/>
        <v>1.8595856619994786</v>
      </c>
      <c r="G1329" s="491">
        <v>537.75419999999997</v>
      </c>
      <c r="H1329" s="325" t="s">
        <v>153</v>
      </c>
      <c r="I1329" s="326" t="s">
        <v>2373</v>
      </c>
      <c r="J1329" s="130" t="s">
        <v>98</v>
      </c>
      <c r="K1329" s="130" t="s">
        <v>2638</v>
      </c>
      <c r="L1329" s="148" t="s">
        <v>155</v>
      </c>
      <c r="M1329" s="130"/>
      <c r="N1329" s="130"/>
      <c r="O1329" s="130"/>
    </row>
    <row r="1330" spans="1:15" ht="16.5">
      <c r="A1330" s="481">
        <v>45866</v>
      </c>
      <c r="B1330" s="482" t="s">
        <v>2660</v>
      </c>
      <c r="C1330" s="482" t="s">
        <v>2196</v>
      </c>
      <c r="D1330" s="482" t="s">
        <v>118</v>
      </c>
      <c r="E1330" s="379">
        <v>6000</v>
      </c>
      <c r="F1330" s="358">
        <f t="shared" si="6"/>
        <v>11.157513971996872</v>
      </c>
      <c r="G1330" s="491">
        <v>537.75419999999997</v>
      </c>
      <c r="H1330" s="495" t="s">
        <v>643</v>
      </c>
      <c r="I1330" s="130" t="s">
        <v>2441</v>
      </c>
      <c r="J1330" s="130" t="s">
        <v>98</v>
      </c>
      <c r="K1330" s="130" t="s">
        <v>2638</v>
      </c>
      <c r="L1330" s="148" t="s">
        <v>155</v>
      </c>
      <c r="M1330" s="130"/>
      <c r="N1330" s="130"/>
      <c r="O1330" s="130"/>
    </row>
    <row r="1331" spans="1:15" ht="16.5">
      <c r="A1331" s="481">
        <v>45866</v>
      </c>
      <c r="B1331" s="482" t="s">
        <v>2659</v>
      </c>
      <c r="C1331" s="482" t="s">
        <v>317</v>
      </c>
      <c r="D1331" s="482" t="s">
        <v>118</v>
      </c>
      <c r="E1331" s="379">
        <v>20000</v>
      </c>
      <c r="F1331" s="358">
        <f t="shared" si="6"/>
        <v>37.191713239989575</v>
      </c>
      <c r="G1331" s="491">
        <v>537.75419999999997</v>
      </c>
      <c r="H1331" s="482" t="s">
        <v>643</v>
      </c>
      <c r="I1331" s="130" t="s">
        <v>2442</v>
      </c>
      <c r="J1331" s="130" t="s">
        <v>98</v>
      </c>
      <c r="K1331" s="130" t="s">
        <v>2638</v>
      </c>
      <c r="L1331" s="148" t="s">
        <v>155</v>
      </c>
      <c r="M1331" s="130"/>
      <c r="N1331" s="130"/>
      <c r="O1331" s="130"/>
    </row>
    <row r="1332" spans="1:15" ht="16.5">
      <c r="A1332" s="481">
        <v>45866</v>
      </c>
      <c r="B1332" s="482" t="s">
        <v>2424</v>
      </c>
      <c r="C1332" s="482" t="s">
        <v>317</v>
      </c>
      <c r="D1332" s="482" t="s">
        <v>118</v>
      </c>
      <c r="E1332" s="379">
        <v>75625</v>
      </c>
      <c r="F1332" s="358">
        <f t="shared" si="6"/>
        <v>140.63116568871058</v>
      </c>
      <c r="G1332" s="491">
        <v>537.75419999999997</v>
      </c>
      <c r="H1332" s="482" t="s">
        <v>643</v>
      </c>
      <c r="I1332" s="130" t="s">
        <v>2443</v>
      </c>
      <c r="J1332" s="130" t="s">
        <v>98</v>
      </c>
      <c r="K1332" s="130" t="s">
        <v>2638</v>
      </c>
      <c r="L1332" s="148" t="s">
        <v>155</v>
      </c>
      <c r="M1332" s="130"/>
      <c r="N1332" s="130"/>
      <c r="O1332" s="130"/>
    </row>
    <row r="1333" spans="1:15" ht="16.5">
      <c r="A1333" s="481">
        <v>45866</v>
      </c>
      <c r="B1333" s="482" t="s">
        <v>2661</v>
      </c>
      <c r="C1333" s="482" t="s">
        <v>172</v>
      </c>
      <c r="D1333" s="482" t="s">
        <v>118</v>
      </c>
      <c r="E1333" s="379">
        <v>12500</v>
      </c>
      <c r="F1333" s="358">
        <f t="shared" si="6"/>
        <v>23.244820774993485</v>
      </c>
      <c r="G1333" s="491">
        <v>537.75419999999997</v>
      </c>
      <c r="H1333" s="482" t="s">
        <v>643</v>
      </c>
      <c r="I1333" s="130" t="s">
        <v>2444</v>
      </c>
      <c r="J1333" s="130" t="s">
        <v>98</v>
      </c>
      <c r="K1333" s="130" t="s">
        <v>2638</v>
      </c>
      <c r="L1333" s="148" t="s">
        <v>155</v>
      </c>
      <c r="M1333" s="130"/>
      <c r="N1333" s="130"/>
      <c r="O1333" s="130"/>
    </row>
    <row r="1334" spans="1:15" ht="16.5">
      <c r="A1334" s="481">
        <v>45866</v>
      </c>
      <c r="B1334" s="185" t="s">
        <v>2497</v>
      </c>
      <c r="C1334" s="261" t="s">
        <v>199</v>
      </c>
      <c r="D1334" s="261" t="s">
        <v>117</v>
      </c>
      <c r="E1334" s="262">
        <v>1000</v>
      </c>
      <c r="F1334" s="358">
        <f t="shared" si="6"/>
        <v>1.8595856619994786</v>
      </c>
      <c r="G1334" s="491">
        <v>537.75419999999997</v>
      </c>
      <c r="H1334" s="261" t="s">
        <v>497</v>
      </c>
      <c r="I1334" s="185" t="s">
        <v>2501</v>
      </c>
      <c r="J1334" s="130" t="s">
        <v>98</v>
      </c>
      <c r="K1334" s="130" t="s">
        <v>2638</v>
      </c>
      <c r="L1334" s="148" t="s">
        <v>155</v>
      </c>
      <c r="M1334" s="130"/>
      <c r="N1334" s="130"/>
      <c r="O1334" s="130"/>
    </row>
    <row r="1335" spans="1:15" ht="16.5">
      <c r="A1335" s="481">
        <v>45866</v>
      </c>
      <c r="B1335" s="185" t="s">
        <v>2498</v>
      </c>
      <c r="C1335" s="261" t="s">
        <v>199</v>
      </c>
      <c r="D1335" s="261" t="s">
        <v>117</v>
      </c>
      <c r="E1335" s="262">
        <v>1000</v>
      </c>
      <c r="F1335" s="358">
        <f t="shared" si="6"/>
        <v>1.8595856619994786</v>
      </c>
      <c r="G1335" s="491">
        <v>537.75419999999997</v>
      </c>
      <c r="H1335" s="261" t="s">
        <v>497</v>
      </c>
      <c r="I1335" s="185" t="s">
        <v>2501</v>
      </c>
      <c r="J1335" s="130" t="s">
        <v>98</v>
      </c>
      <c r="K1335" s="130" t="s">
        <v>2638</v>
      </c>
      <c r="L1335" s="148" t="s">
        <v>155</v>
      </c>
      <c r="M1335" s="130"/>
      <c r="N1335" s="130"/>
      <c r="O1335" s="130"/>
    </row>
    <row r="1336" spans="1:15" ht="16.5">
      <c r="A1336" s="481">
        <v>45866</v>
      </c>
      <c r="B1336" s="482" t="s">
        <v>2509</v>
      </c>
      <c r="C1336" s="185" t="s">
        <v>175</v>
      </c>
      <c r="D1336" s="492" t="s">
        <v>120</v>
      </c>
      <c r="E1336" s="490">
        <v>1000</v>
      </c>
      <c r="F1336" s="358">
        <f t="shared" si="6"/>
        <v>1.8595856619994786</v>
      </c>
      <c r="G1336" s="491">
        <v>537.75419999999997</v>
      </c>
      <c r="H1336" s="482" t="s">
        <v>217</v>
      </c>
      <c r="I1336" s="130" t="s">
        <v>2523</v>
      </c>
      <c r="J1336" s="130" t="s">
        <v>98</v>
      </c>
      <c r="K1336" s="130" t="s">
        <v>2638</v>
      </c>
      <c r="L1336" s="148" t="s">
        <v>155</v>
      </c>
      <c r="M1336" s="130"/>
      <c r="N1336" s="130"/>
      <c r="O1336" s="130"/>
    </row>
    <row r="1337" spans="1:15" ht="16.5">
      <c r="A1337" s="481">
        <v>45866</v>
      </c>
      <c r="B1337" s="482" t="s">
        <v>2510</v>
      </c>
      <c r="C1337" s="185" t="s">
        <v>175</v>
      </c>
      <c r="D1337" s="492" t="s">
        <v>120</v>
      </c>
      <c r="E1337" s="490">
        <v>1000</v>
      </c>
      <c r="F1337" s="358">
        <f t="shared" si="6"/>
        <v>1.8595856619994786</v>
      </c>
      <c r="G1337" s="491">
        <v>537.75419999999997</v>
      </c>
      <c r="H1337" s="482" t="s">
        <v>217</v>
      </c>
      <c r="I1337" s="130" t="s">
        <v>2523</v>
      </c>
      <c r="J1337" s="130" t="s">
        <v>98</v>
      </c>
      <c r="K1337" s="130" t="s">
        <v>2638</v>
      </c>
      <c r="L1337" s="148" t="s">
        <v>155</v>
      </c>
      <c r="M1337" s="130"/>
      <c r="N1337" s="130"/>
      <c r="O1337" s="130"/>
    </row>
    <row r="1338" spans="1:15" ht="16.5">
      <c r="A1338" s="481">
        <v>45866</v>
      </c>
      <c r="B1338" s="482" t="s">
        <v>2662</v>
      </c>
      <c r="C1338" s="482" t="s">
        <v>2344</v>
      </c>
      <c r="D1338" s="482" t="s">
        <v>120</v>
      </c>
      <c r="E1338" s="379">
        <v>66000</v>
      </c>
      <c r="F1338" s="358">
        <f t="shared" si="6"/>
        <v>122.7326536919656</v>
      </c>
      <c r="G1338" s="491">
        <v>537.75419999999997</v>
      </c>
      <c r="H1338" s="482" t="s">
        <v>217</v>
      </c>
      <c r="I1338" s="132" t="s">
        <v>2525</v>
      </c>
      <c r="J1338" s="130" t="s">
        <v>98</v>
      </c>
      <c r="K1338" s="130" t="s">
        <v>2638</v>
      </c>
      <c r="L1338" s="148" t="s">
        <v>155</v>
      </c>
      <c r="M1338" s="130"/>
      <c r="N1338" s="130"/>
      <c r="O1338" s="130"/>
    </row>
    <row r="1339" spans="1:15" ht="16.5">
      <c r="A1339" s="481">
        <v>45866</v>
      </c>
      <c r="B1339" s="482" t="s">
        <v>2663</v>
      </c>
      <c r="C1339" s="482" t="s">
        <v>2344</v>
      </c>
      <c r="D1339" s="482" t="s">
        <v>120</v>
      </c>
      <c r="E1339" s="379">
        <v>30000</v>
      </c>
      <c r="F1339" s="358">
        <f t="shared" si="6"/>
        <v>55.787569859984359</v>
      </c>
      <c r="G1339" s="491">
        <v>537.75419999999997</v>
      </c>
      <c r="H1339" s="482" t="s">
        <v>217</v>
      </c>
      <c r="I1339" s="132" t="s">
        <v>2526</v>
      </c>
      <c r="J1339" s="130" t="s">
        <v>98</v>
      </c>
      <c r="K1339" s="130" t="s">
        <v>2638</v>
      </c>
      <c r="L1339" s="148" t="s">
        <v>155</v>
      </c>
      <c r="M1339" s="130"/>
      <c r="N1339" s="130"/>
      <c r="O1339" s="130"/>
    </row>
    <row r="1340" spans="1:15" ht="16.5">
      <c r="A1340" s="481">
        <v>45866</v>
      </c>
      <c r="B1340" s="482" t="s">
        <v>2513</v>
      </c>
      <c r="C1340" s="482" t="s">
        <v>2344</v>
      </c>
      <c r="D1340" s="482" t="s">
        <v>120</v>
      </c>
      <c r="E1340" s="379">
        <v>6000</v>
      </c>
      <c r="F1340" s="358">
        <f t="shared" si="6"/>
        <v>11.157513971996872</v>
      </c>
      <c r="G1340" s="491">
        <v>537.75419999999997</v>
      </c>
      <c r="H1340" s="482" t="s">
        <v>217</v>
      </c>
      <c r="I1340" s="132" t="s">
        <v>2527</v>
      </c>
      <c r="J1340" s="130" t="s">
        <v>98</v>
      </c>
      <c r="K1340" s="130" t="s">
        <v>2638</v>
      </c>
      <c r="L1340" s="148" t="s">
        <v>155</v>
      </c>
      <c r="M1340" s="130"/>
      <c r="N1340" s="130"/>
      <c r="O1340" s="130"/>
    </row>
    <row r="1341" spans="1:15" ht="16.5">
      <c r="A1341" s="481">
        <v>45866</v>
      </c>
      <c r="B1341" s="482" t="s">
        <v>2528</v>
      </c>
      <c r="C1341" s="482" t="s">
        <v>175</v>
      </c>
      <c r="D1341" s="482" t="s">
        <v>117</v>
      </c>
      <c r="E1341" s="482">
        <v>1000</v>
      </c>
      <c r="F1341" s="358">
        <f t="shared" si="6"/>
        <v>1.8595856619994786</v>
      </c>
      <c r="G1341" s="491">
        <v>537.75419999999997</v>
      </c>
      <c r="H1341" s="482" t="s">
        <v>190</v>
      </c>
      <c r="I1341" s="130" t="s">
        <v>2530</v>
      </c>
      <c r="J1341" s="130" t="s">
        <v>98</v>
      </c>
      <c r="K1341" s="130" t="s">
        <v>2638</v>
      </c>
      <c r="L1341" s="148" t="s">
        <v>155</v>
      </c>
      <c r="M1341" s="130"/>
      <c r="N1341" s="130"/>
      <c r="O1341" s="130"/>
    </row>
    <row r="1342" spans="1:15" ht="16.5">
      <c r="A1342" s="481">
        <v>45866</v>
      </c>
      <c r="B1342" s="482" t="s">
        <v>2529</v>
      </c>
      <c r="C1342" s="482" t="s">
        <v>175</v>
      </c>
      <c r="D1342" s="482" t="s">
        <v>117</v>
      </c>
      <c r="E1342" s="482">
        <v>1000</v>
      </c>
      <c r="F1342" s="358">
        <f t="shared" si="6"/>
        <v>1.8595856619994786</v>
      </c>
      <c r="G1342" s="491">
        <v>537.75419999999997</v>
      </c>
      <c r="H1342" s="482" t="s">
        <v>190</v>
      </c>
      <c r="I1342" s="130" t="s">
        <v>2530</v>
      </c>
      <c r="J1342" s="130" t="s">
        <v>98</v>
      </c>
      <c r="K1342" s="130" t="s">
        <v>2638</v>
      </c>
      <c r="L1342" s="148" t="s">
        <v>155</v>
      </c>
      <c r="M1342" s="130"/>
      <c r="N1342" s="130"/>
      <c r="O1342" s="130"/>
    </row>
    <row r="1343" spans="1:15" ht="16.5">
      <c r="A1343" s="481">
        <v>45866</v>
      </c>
      <c r="B1343" s="404" t="s">
        <v>2605</v>
      </c>
      <c r="C1343" s="183" t="s">
        <v>123</v>
      </c>
      <c r="D1343" s="183" t="s">
        <v>117</v>
      </c>
      <c r="E1343" s="478">
        <v>300000</v>
      </c>
      <c r="F1343" s="358">
        <f t="shared" si="6"/>
        <v>557.87569859984364</v>
      </c>
      <c r="G1343" s="491">
        <v>537.75419999999997</v>
      </c>
      <c r="H1343" s="482" t="s">
        <v>148</v>
      </c>
      <c r="I1343" s="130" t="s">
        <v>2606</v>
      </c>
      <c r="J1343" s="130" t="s">
        <v>98</v>
      </c>
      <c r="K1343" s="130" t="s">
        <v>2638</v>
      </c>
      <c r="L1343" s="148" t="s">
        <v>155</v>
      </c>
      <c r="M1343" s="130"/>
      <c r="N1343" s="130"/>
      <c r="O1343" s="130"/>
    </row>
    <row r="1344" spans="1:15" ht="16.5">
      <c r="A1344" s="481">
        <v>45867</v>
      </c>
      <c r="B1344" s="321" t="s">
        <v>2355</v>
      </c>
      <c r="C1344" s="322" t="s">
        <v>175</v>
      </c>
      <c r="D1344" s="323" t="s">
        <v>119</v>
      </c>
      <c r="E1344" s="321">
        <v>1000</v>
      </c>
      <c r="F1344" s="358">
        <f t="shared" si="6"/>
        <v>1.8595856619994786</v>
      </c>
      <c r="G1344" s="491">
        <v>537.75419999999997</v>
      </c>
      <c r="H1344" s="325" t="s">
        <v>153</v>
      </c>
      <c r="I1344" s="326" t="s">
        <v>2373</v>
      </c>
      <c r="J1344" s="130" t="s">
        <v>98</v>
      </c>
      <c r="K1344" s="130" t="s">
        <v>2638</v>
      </c>
      <c r="L1344" s="148" t="s">
        <v>155</v>
      </c>
      <c r="M1344" s="130"/>
      <c r="N1344" s="130"/>
      <c r="O1344" s="130"/>
    </row>
    <row r="1345" spans="1:15" ht="16.5">
      <c r="A1345" s="481">
        <v>45867</v>
      </c>
      <c r="B1345" s="321" t="s">
        <v>2356</v>
      </c>
      <c r="C1345" s="322" t="s">
        <v>175</v>
      </c>
      <c r="D1345" s="323" t="s">
        <v>119</v>
      </c>
      <c r="E1345" s="321">
        <v>1000</v>
      </c>
      <c r="F1345" s="358">
        <f t="shared" si="6"/>
        <v>1.8595856619994786</v>
      </c>
      <c r="G1345" s="491">
        <v>537.75419999999997</v>
      </c>
      <c r="H1345" s="325" t="s">
        <v>153</v>
      </c>
      <c r="I1345" s="326" t="s">
        <v>2373</v>
      </c>
      <c r="J1345" s="130" t="s">
        <v>98</v>
      </c>
      <c r="K1345" s="130" t="s">
        <v>2638</v>
      </c>
      <c r="L1345" s="148" t="s">
        <v>155</v>
      </c>
      <c r="M1345" s="130"/>
      <c r="N1345" s="130"/>
      <c r="O1345" s="130"/>
    </row>
    <row r="1346" spans="1:15" ht="16.5">
      <c r="A1346" s="481">
        <v>45867</v>
      </c>
      <c r="B1346" s="482" t="s">
        <v>2426</v>
      </c>
      <c r="C1346" s="482" t="s">
        <v>175</v>
      </c>
      <c r="D1346" s="482" t="s">
        <v>118</v>
      </c>
      <c r="E1346" s="379">
        <v>1000</v>
      </c>
      <c r="F1346" s="358">
        <f t="shared" si="6"/>
        <v>1.8595856619994786</v>
      </c>
      <c r="G1346" s="491">
        <v>537.75419999999997</v>
      </c>
      <c r="H1346" s="482" t="s">
        <v>643</v>
      </c>
      <c r="I1346" s="130" t="s">
        <v>2434</v>
      </c>
      <c r="J1346" s="130" t="s">
        <v>98</v>
      </c>
      <c r="K1346" s="130" t="s">
        <v>2638</v>
      </c>
      <c r="L1346" s="148" t="s">
        <v>155</v>
      </c>
      <c r="M1346" s="130"/>
      <c r="N1346" s="130"/>
      <c r="O1346" s="130"/>
    </row>
    <row r="1347" spans="1:15" ht="16.5">
      <c r="A1347" s="481">
        <v>45867</v>
      </c>
      <c r="B1347" s="482" t="s">
        <v>2427</v>
      </c>
      <c r="C1347" s="482" t="s">
        <v>175</v>
      </c>
      <c r="D1347" s="482" t="s">
        <v>118</v>
      </c>
      <c r="E1347" s="379">
        <v>1000</v>
      </c>
      <c r="F1347" s="358">
        <f t="shared" si="6"/>
        <v>1.8595856619994786</v>
      </c>
      <c r="G1347" s="491">
        <v>537.75419999999997</v>
      </c>
      <c r="H1347" s="482" t="s">
        <v>643</v>
      </c>
      <c r="I1347" s="130" t="s">
        <v>2434</v>
      </c>
      <c r="J1347" s="130" t="s">
        <v>98</v>
      </c>
      <c r="K1347" s="130" t="s">
        <v>2638</v>
      </c>
      <c r="L1347" s="148" t="s">
        <v>155</v>
      </c>
      <c r="M1347" s="130"/>
      <c r="N1347" s="130"/>
      <c r="O1347" s="130"/>
    </row>
    <row r="1348" spans="1:15" ht="16.5">
      <c r="A1348" s="481">
        <v>45867</v>
      </c>
      <c r="B1348" s="482" t="s">
        <v>2428</v>
      </c>
      <c r="C1348" s="183" t="s">
        <v>123</v>
      </c>
      <c r="D1348" s="183" t="s">
        <v>117</v>
      </c>
      <c r="E1348" s="379">
        <v>115000</v>
      </c>
      <c r="F1348" s="358">
        <f t="shared" ref="F1348:F1373" si="7">E1348/G1348</f>
        <v>213.85235112994005</v>
      </c>
      <c r="G1348" s="491">
        <v>537.75419999999997</v>
      </c>
      <c r="H1348" s="482" t="s">
        <v>643</v>
      </c>
      <c r="I1348" s="130" t="s">
        <v>2445</v>
      </c>
      <c r="J1348" s="130" t="s">
        <v>98</v>
      </c>
      <c r="K1348" s="130" t="s">
        <v>2638</v>
      </c>
      <c r="L1348" s="148" t="s">
        <v>155</v>
      </c>
      <c r="M1348" s="130"/>
      <c r="N1348" s="130"/>
      <c r="O1348" s="130"/>
    </row>
    <row r="1349" spans="1:15" ht="16.5">
      <c r="A1349" s="481">
        <v>45867</v>
      </c>
      <c r="B1349" s="482" t="s">
        <v>1732</v>
      </c>
      <c r="C1349" s="482" t="s">
        <v>172</v>
      </c>
      <c r="D1349" s="482" t="s">
        <v>118</v>
      </c>
      <c r="E1349" s="379">
        <v>300000</v>
      </c>
      <c r="F1349" s="358">
        <f t="shared" si="7"/>
        <v>557.87569859984364</v>
      </c>
      <c r="G1349" s="491">
        <v>537.75419999999997</v>
      </c>
      <c r="H1349" s="482" t="s">
        <v>643</v>
      </c>
      <c r="I1349" s="130" t="s">
        <v>2446</v>
      </c>
      <c r="J1349" s="130" t="s">
        <v>98</v>
      </c>
      <c r="K1349" s="130" t="s">
        <v>2638</v>
      </c>
      <c r="L1349" s="148" t="s">
        <v>155</v>
      </c>
      <c r="M1349" s="130"/>
      <c r="N1349" s="130"/>
      <c r="O1349" s="130"/>
    </row>
    <row r="1350" spans="1:15" ht="16.5">
      <c r="A1350" s="481">
        <v>45867</v>
      </c>
      <c r="B1350" s="482" t="s">
        <v>610</v>
      </c>
      <c r="C1350" s="482" t="s">
        <v>172</v>
      </c>
      <c r="D1350" s="482" t="s">
        <v>118</v>
      </c>
      <c r="E1350" s="379">
        <v>25000</v>
      </c>
      <c r="F1350" s="358">
        <f t="shared" si="7"/>
        <v>46.48964154998697</v>
      </c>
      <c r="G1350" s="491">
        <v>537.75419999999997</v>
      </c>
      <c r="H1350" s="482" t="s">
        <v>193</v>
      </c>
      <c r="I1350" s="130" t="s">
        <v>2465</v>
      </c>
      <c r="J1350" s="130" t="s">
        <v>98</v>
      </c>
      <c r="K1350" s="130" t="s">
        <v>2638</v>
      </c>
      <c r="L1350" s="148" t="s">
        <v>155</v>
      </c>
      <c r="M1350" s="130"/>
      <c r="N1350" s="130"/>
      <c r="O1350" s="130"/>
    </row>
    <row r="1351" spans="1:15" ht="16.5">
      <c r="A1351" s="481">
        <v>45867</v>
      </c>
      <c r="B1351" s="482" t="s">
        <v>2514</v>
      </c>
      <c r="C1351" s="185" t="s">
        <v>175</v>
      </c>
      <c r="D1351" s="492" t="s">
        <v>120</v>
      </c>
      <c r="E1351" s="490">
        <v>1000</v>
      </c>
      <c r="F1351" s="358">
        <f t="shared" si="7"/>
        <v>1.8595856619994786</v>
      </c>
      <c r="G1351" s="491">
        <v>537.75419999999997</v>
      </c>
      <c r="H1351" s="482" t="s">
        <v>217</v>
      </c>
      <c r="I1351" s="130" t="s">
        <v>2523</v>
      </c>
      <c r="J1351" s="130" t="s">
        <v>98</v>
      </c>
      <c r="K1351" s="130" t="s">
        <v>2638</v>
      </c>
      <c r="L1351" s="148" t="s">
        <v>155</v>
      </c>
      <c r="M1351" s="130"/>
      <c r="N1351" s="130"/>
      <c r="O1351" s="130"/>
    </row>
    <row r="1352" spans="1:15" ht="16.5">
      <c r="A1352" s="481">
        <v>45867</v>
      </c>
      <c r="B1352" s="482" t="s">
        <v>2515</v>
      </c>
      <c r="C1352" s="185" t="s">
        <v>175</v>
      </c>
      <c r="D1352" s="492" t="s">
        <v>120</v>
      </c>
      <c r="E1352" s="490">
        <v>1000</v>
      </c>
      <c r="F1352" s="358">
        <f t="shared" si="7"/>
        <v>1.8595856619994786</v>
      </c>
      <c r="G1352" s="491">
        <v>537.75419999999997</v>
      </c>
      <c r="H1352" s="482" t="s">
        <v>217</v>
      </c>
      <c r="I1352" s="130" t="s">
        <v>2523</v>
      </c>
      <c r="J1352" s="130" t="s">
        <v>98</v>
      </c>
      <c r="K1352" s="130" t="s">
        <v>2638</v>
      </c>
      <c r="L1352" s="148" t="s">
        <v>155</v>
      </c>
      <c r="M1352" s="130"/>
      <c r="N1352" s="130"/>
      <c r="O1352" s="130"/>
    </row>
    <row r="1353" spans="1:15" ht="16.5">
      <c r="A1353" s="481">
        <v>45867</v>
      </c>
      <c r="B1353" s="482" t="s">
        <v>2516</v>
      </c>
      <c r="C1353" s="185" t="s">
        <v>175</v>
      </c>
      <c r="D1353" s="492" t="s">
        <v>120</v>
      </c>
      <c r="E1353" s="490">
        <v>1000</v>
      </c>
      <c r="F1353" s="358">
        <f t="shared" si="7"/>
        <v>1.8595856619994786</v>
      </c>
      <c r="G1353" s="491">
        <v>537.75419999999997</v>
      </c>
      <c r="H1353" s="482" t="s">
        <v>217</v>
      </c>
      <c r="I1353" s="130" t="s">
        <v>2523</v>
      </c>
      <c r="J1353" s="130" t="s">
        <v>98</v>
      </c>
      <c r="K1353" s="130" t="s">
        <v>2638</v>
      </c>
      <c r="L1353" s="148" t="s">
        <v>155</v>
      </c>
      <c r="M1353" s="130"/>
      <c r="N1353" s="130"/>
      <c r="O1353" s="130"/>
    </row>
    <row r="1354" spans="1:15" ht="16.5">
      <c r="A1354" s="481">
        <v>45867</v>
      </c>
      <c r="B1354" s="482" t="s">
        <v>2517</v>
      </c>
      <c r="C1354" s="185" t="s">
        <v>175</v>
      </c>
      <c r="D1354" s="492" t="s">
        <v>120</v>
      </c>
      <c r="E1354" s="490">
        <v>1000</v>
      </c>
      <c r="F1354" s="358">
        <f t="shared" si="7"/>
        <v>1.8595856619994786</v>
      </c>
      <c r="G1354" s="491">
        <v>537.75419999999997</v>
      </c>
      <c r="H1354" s="482" t="s">
        <v>217</v>
      </c>
      <c r="I1354" s="130" t="s">
        <v>2523</v>
      </c>
      <c r="J1354" s="130" t="s">
        <v>98</v>
      </c>
      <c r="K1354" s="130" t="s">
        <v>2638</v>
      </c>
      <c r="L1354" s="148" t="s">
        <v>155</v>
      </c>
      <c r="M1354" s="130"/>
      <c r="N1354" s="130"/>
      <c r="O1354" s="130"/>
    </row>
    <row r="1355" spans="1:15" ht="16.5">
      <c r="A1355" s="481">
        <v>45867</v>
      </c>
      <c r="B1355" s="482" t="s">
        <v>2518</v>
      </c>
      <c r="C1355" s="185" t="s">
        <v>175</v>
      </c>
      <c r="D1355" s="492" t="s">
        <v>120</v>
      </c>
      <c r="E1355" s="490">
        <v>1000</v>
      </c>
      <c r="F1355" s="358">
        <f t="shared" si="7"/>
        <v>1.8595856619994786</v>
      </c>
      <c r="G1355" s="491">
        <v>537.75419999999997</v>
      </c>
      <c r="H1355" s="482" t="s">
        <v>217</v>
      </c>
      <c r="I1355" s="130" t="s">
        <v>2523</v>
      </c>
      <c r="J1355" s="130" t="s">
        <v>98</v>
      </c>
      <c r="K1355" s="130" t="s">
        <v>2638</v>
      </c>
      <c r="L1355" s="148" t="s">
        <v>155</v>
      </c>
      <c r="M1355" s="130"/>
      <c r="N1355" s="130"/>
      <c r="O1355" s="130"/>
    </row>
    <row r="1356" spans="1:15" ht="16.5">
      <c r="A1356" s="481">
        <v>45867</v>
      </c>
      <c r="B1356" s="482" t="s">
        <v>2519</v>
      </c>
      <c r="C1356" s="185" t="s">
        <v>175</v>
      </c>
      <c r="D1356" s="492" t="s">
        <v>120</v>
      </c>
      <c r="E1356" s="490">
        <v>1000</v>
      </c>
      <c r="F1356" s="358">
        <f t="shared" si="7"/>
        <v>1.8595856619994786</v>
      </c>
      <c r="G1356" s="491">
        <v>537.75419999999997</v>
      </c>
      <c r="H1356" s="482" t="s">
        <v>217</v>
      </c>
      <c r="I1356" s="130" t="s">
        <v>2523</v>
      </c>
      <c r="J1356" s="130" t="s">
        <v>98</v>
      </c>
      <c r="K1356" s="130" t="s">
        <v>2638</v>
      </c>
      <c r="L1356" s="148" t="s">
        <v>155</v>
      </c>
      <c r="M1356" s="130"/>
      <c r="N1356" s="130"/>
      <c r="O1356" s="130"/>
    </row>
    <row r="1357" spans="1:15" ht="16.5">
      <c r="A1357" s="481">
        <v>45867</v>
      </c>
      <c r="B1357" s="482" t="s">
        <v>2520</v>
      </c>
      <c r="C1357" s="185" t="s">
        <v>175</v>
      </c>
      <c r="D1357" s="492" t="s">
        <v>120</v>
      </c>
      <c r="E1357" s="490">
        <v>1000</v>
      </c>
      <c r="F1357" s="358">
        <f t="shared" si="7"/>
        <v>1.8595856619994786</v>
      </c>
      <c r="G1357" s="491">
        <v>537.75419999999997</v>
      </c>
      <c r="H1357" s="482" t="s">
        <v>217</v>
      </c>
      <c r="I1357" s="130" t="s">
        <v>2523</v>
      </c>
      <c r="J1357" s="130" t="s">
        <v>98</v>
      </c>
      <c r="K1357" s="130" t="s">
        <v>2638</v>
      </c>
      <c r="L1357" s="148" t="s">
        <v>155</v>
      </c>
      <c r="M1357" s="130"/>
      <c r="N1357" s="130"/>
      <c r="O1357" s="130"/>
    </row>
    <row r="1358" spans="1:15" ht="16.5">
      <c r="A1358" s="481">
        <v>45868</v>
      </c>
      <c r="B1358" s="321" t="s">
        <v>2355</v>
      </c>
      <c r="C1358" s="322" t="s">
        <v>175</v>
      </c>
      <c r="D1358" s="323" t="s">
        <v>119</v>
      </c>
      <c r="E1358" s="321">
        <v>1000</v>
      </c>
      <c r="F1358" s="358">
        <f t="shared" si="7"/>
        <v>1.8595856619994786</v>
      </c>
      <c r="G1358" s="491">
        <v>537.75419999999997</v>
      </c>
      <c r="H1358" s="325" t="s">
        <v>153</v>
      </c>
      <c r="I1358" s="326" t="s">
        <v>2373</v>
      </c>
      <c r="J1358" s="130" t="s">
        <v>98</v>
      </c>
      <c r="K1358" s="130" t="s">
        <v>2638</v>
      </c>
      <c r="L1358" s="148" t="s">
        <v>155</v>
      </c>
      <c r="M1358" s="130"/>
      <c r="N1358" s="130"/>
      <c r="O1358" s="130"/>
    </row>
    <row r="1359" spans="1:15" ht="16.5">
      <c r="A1359" s="481">
        <v>45868</v>
      </c>
      <c r="B1359" s="321" t="s">
        <v>2356</v>
      </c>
      <c r="C1359" s="322" t="s">
        <v>175</v>
      </c>
      <c r="D1359" s="323" t="s">
        <v>119</v>
      </c>
      <c r="E1359" s="321">
        <v>1000</v>
      </c>
      <c r="F1359" s="358">
        <f t="shared" si="7"/>
        <v>1.8595856619994786</v>
      </c>
      <c r="G1359" s="491">
        <v>537.75419999999997</v>
      </c>
      <c r="H1359" s="325" t="s">
        <v>153</v>
      </c>
      <c r="I1359" s="326" t="s">
        <v>2373</v>
      </c>
      <c r="J1359" s="130" t="s">
        <v>98</v>
      </c>
      <c r="K1359" s="130" t="s">
        <v>2638</v>
      </c>
      <c r="L1359" s="148" t="s">
        <v>155</v>
      </c>
      <c r="M1359" s="130"/>
      <c r="N1359" s="130"/>
      <c r="O1359" s="130"/>
    </row>
    <row r="1360" spans="1:15" ht="16.5">
      <c r="A1360" s="481">
        <v>45868</v>
      </c>
      <c r="B1360" s="482" t="s">
        <v>2429</v>
      </c>
      <c r="C1360" s="482" t="s">
        <v>175</v>
      </c>
      <c r="D1360" s="482" t="s">
        <v>118</v>
      </c>
      <c r="E1360" s="379">
        <v>1000</v>
      </c>
      <c r="F1360" s="358">
        <f t="shared" si="7"/>
        <v>1.8595856619994786</v>
      </c>
      <c r="G1360" s="491">
        <v>537.75419999999997</v>
      </c>
      <c r="H1360" s="482" t="s">
        <v>643</v>
      </c>
      <c r="I1360" s="130" t="s">
        <v>2434</v>
      </c>
      <c r="J1360" s="130" t="s">
        <v>98</v>
      </c>
      <c r="K1360" s="130" t="s">
        <v>2638</v>
      </c>
      <c r="L1360" s="148" t="s">
        <v>155</v>
      </c>
      <c r="M1360" s="130"/>
      <c r="N1360" s="130"/>
      <c r="O1360" s="130"/>
    </row>
    <row r="1361" spans="1:15" ht="16.5">
      <c r="A1361" s="481">
        <v>45868</v>
      </c>
      <c r="B1361" s="482" t="s">
        <v>2430</v>
      </c>
      <c r="C1361" s="482" t="s">
        <v>175</v>
      </c>
      <c r="D1361" s="482" t="s">
        <v>118</v>
      </c>
      <c r="E1361" s="379">
        <v>1000</v>
      </c>
      <c r="F1361" s="358">
        <f t="shared" si="7"/>
        <v>1.8595856619994786</v>
      </c>
      <c r="G1361" s="491">
        <v>537.75419999999997</v>
      </c>
      <c r="H1361" s="482" t="s">
        <v>643</v>
      </c>
      <c r="I1361" s="130" t="s">
        <v>2434</v>
      </c>
      <c r="J1361" s="130" t="s">
        <v>98</v>
      </c>
      <c r="K1361" s="130" t="s">
        <v>2638</v>
      </c>
      <c r="L1361" s="148" t="s">
        <v>155</v>
      </c>
      <c r="M1361" s="130"/>
      <c r="N1361" s="130"/>
      <c r="O1361" s="130"/>
    </row>
    <row r="1362" spans="1:15" ht="16.5">
      <c r="A1362" s="481">
        <v>45868</v>
      </c>
      <c r="B1362" s="482" t="s">
        <v>2431</v>
      </c>
      <c r="C1362" s="482" t="s">
        <v>686</v>
      </c>
      <c r="D1362" s="482" t="s">
        <v>118</v>
      </c>
      <c r="E1362" s="379">
        <v>45050</v>
      </c>
      <c r="F1362" s="358">
        <f t="shared" si="7"/>
        <v>83.774334073076517</v>
      </c>
      <c r="G1362" s="491">
        <v>537.75419999999997</v>
      </c>
      <c r="H1362" s="482" t="s">
        <v>643</v>
      </c>
      <c r="I1362" s="130" t="s">
        <v>2447</v>
      </c>
      <c r="J1362" s="130" t="s">
        <v>98</v>
      </c>
      <c r="K1362" s="130" t="s">
        <v>2638</v>
      </c>
      <c r="L1362" s="148" t="s">
        <v>155</v>
      </c>
      <c r="M1362" s="130"/>
      <c r="N1362" s="130"/>
      <c r="O1362" s="130"/>
    </row>
    <row r="1363" spans="1:15" ht="16.5">
      <c r="A1363" s="481">
        <v>45868</v>
      </c>
      <c r="B1363" s="404" t="s">
        <v>2607</v>
      </c>
      <c r="C1363" s="183" t="s">
        <v>127</v>
      </c>
      <c r="D1363" s="183" t="s">
        <v>121</v>
      </c>
      <c r="E1363" s="478">
        <v>370000</v>
      </c>
      <c r="F1363" s="358">
        <f t="shared" si="7"/>
        <v>688.04669493980714</v>
      </c>
      <c r="G1363" s="491">
        <v>537.75419999999997</v>
      </c>
      <c r="H1363" s="482" t="s">
        <v>148</v>
      </c>
      <c r="I1363" s="130" t="s">
        <v>2608</v>
      </c>
      <c r="J1363" s="130" t="s">
        <v>98</v>
      </c>
      <c r="K1363" s="130" t="s">
        <v>2638</v>
      </c>
      <c r="L1363" s="148" t="s">
        <v>155</v>
      </c>
      <c r="M1363" s="130"/>
      <c r="N1363" s="130"/>
      <c r="O1363" s="130"/>
    </row>
    <row r="1364" spans="1:15" ht="16.5">
      <c r="A1364" s="481">
        <v>45868</v>
      </c>
      <c r="B1364" s="404" t="s">
        <v>2609</v>
      </c>
      <c r="C1364" s="183"/>
      <c r="D1364" s="183" t="s">
        <v>121</v>
      </c>
      <c r="E1364" s="478">
        <v>225000</v>
      </c>
      <c r="F1364" s="358">
        <f t="shared" si="7"/>
        <v>418.40677394988268</v>
      </c>
      <c r="G1364" s="491">
        <v>537.75419999999997</v>
      </c>
      <c r="H1364" s="482" t="s">
        <v>148</v>
      </c>
      <c r="I1364" s="130" t="s">
        <v>2610</v>
      </c>
      <c r="J1364" s="130" t="s">
        <v>98</v>
      </c>
      <c r="K1364" s="130" t="s">
        <v>2638</v>
      </c>
      <c r="L1364" s="148" t="s">
        <v>155</v>
      </c>
      <c r="M1364" s="130"/>
      <c r="N1364" s="130"/>
      <c r="O1364" s="130"/>
    </row>
    <row r="1365" spans="1:15" ht="16.5">
      <c r="A1365" s="481">
        <v>45869</v>
      </c>
      <c r="B1365" s="321" t="s">
        <v>2355</v>
      </c>
      <c r="C1365" s="322" t="s">
        <v>175</v>
      </c>
      <c r="D1365" s="323" t="s">
        <v>119</v>
      </c>
      <c r="E1365" s="321">
        <v>1000</v>
      </c>
      <c r="F1365" s="358">
        <f t="shared" si="7"/>
        <v>1.8595856619994786</v>
      </c>
      <c r="G1365" s="491">
        <v>537.75419999999997</v>
      </c>
      <c r="H1365" s="325" t="s">
        <v>153</v>
      </c>
      <c r="I1365" s="326" t="s">
        <v>2373</v>
      </c>
      <c r="J1365" s="130" t="s">
        <v>98</v>
      </c>
      <c r="K1365" s="130" t="s">
        <v>2638</v>
      </c>
      <c r="L1365" s="148" t="s">
        <v>155</v>
      </c>
      <c r="M1365" s="130"/>
      <c r="N1365" s="130"/>
      <c r="O1365" s="130"/>
    </row>
    <row r="1366" spans="1:15" ht="16.5">
      <c r="A1366" s="481">
        <v>45869</v>
      </c>
      <c r="B1366" s="321" t="s">
        <v>2356</v>
      </c>
      <c r="C1366" s="322" t="s">
        <v>175</v>
      </c>
      <c r="D1366" s="323" t="s">
        <v>119</v>
      </c>
      <c r="E1366" s="321">
        <v>1000</v>
      </c>
      <c r="F1366" s="358">
        <f t="shared" si="7"/>
        <v>1.8595856619994786</v>
      </c>
      <c r="G1366" s="491">
        <v>537.75419999999997</v>
      </c>
      <c r="H1366" s="325" t="s">
        <v>153</v>
      </c>
      <c r="I1366" s="326" t="s">
        <v>2373</v>
      </c>
      <c r="J1366" s="130" t="s">
        <v>98</v>
      </c>
      <c r="K1366" s="130" t="s">
        <v>2638</v>
      </c>
      <c r="L1366" s="148" t="s">
        <v>155</v>
      </c>
      <c r="M1366" s="190"/>
      <c r="N1366" s="190"/>
      <c r="O1366" s="190"/>
    </row>
    <row r="1367" spans="1:15" ht="16.5">
      <c r="A1367" s="481">
        <v>45869</v>
      </c>
      <c r="B1367" s="482" t="s">
        <v>2432</v>
      </c>
      <c r="C1367" s="482" t="s">
        <v>175</v>
      </c>
      <c r="D1367" s="482" t="s">
        <v>118</v>
      </c>
      <c r="E1367" s="379">
        <v>1000</v>
      </c>
      <c r="F1367" s="358">
        <f t="shared" si="7"/>
        <v>1.8595856619994786</v>
      </c>
      <c r="G1367" s="491">
        <v>537.75419999999997</v>
      </c>
      <c r="H1367" s="482" t="s">
        <v>643</v>
      </c>
      <c r="I1367" s="130" t="s">
        <v>2434</v>
      </c>
      <c r="J1367" s="130" t="s">
        <v>98</v>
      </c>
      <c r="K1367" s="130" t="s">
        <v>2638</v>
      </c>
      <c r="L1367" s="148" t="s">
        <v>155</v>
      </c>
      <c r="M1367" s="130"/>
      <c r="N1367" s="130"/>
      <c r="O1367" s="130"/>
    </row>
    <row r="1368" spans="1:15" ht="16.5">
      <c r="A1368" s="481">
        <v>45869</v>
      </c>
      <c r="B1368" s="482" t="s">
        <v>2433</v>
      </c>
      <c r="C1368" s="482" t="s">
        <v>175</v>
      </c>
      <c r="D1368" s="482" t="s">
        <v>118</v>
      </c>
      <c r="E1368" s="379">
        <v>1000</v>
      </c>
      <c r="F1368" s="358">
        <f t="shared" si="7"/>
        <v>1.8595856619994786</v>
      </c>
      <c r="G1368" s="491">
        <v>537.75419999999997</v>
      </c>
      <c r="H1368" s="482" t="s">
        <v>643</v>
      </c>
      <c r="I1368" s="130" t="s">
        <v>2434</v>
      </c>
      <c r="J1368" s="130" t="s">
        <v>98</v>
      </c>
      <c r="K1368" s="130" t="s">
        <v>2638</v>
      </c>
      <c r="L1368" s="148" t="s">
        <v>155</v>
      </c>
      <c r="M1368" s="130"/>
      <c r="N1368" s="130"/>
      <c r="O1368" s="130"/>
    </row>
    <row r="1369" spans="1:15" ht="16.5">
      <c r="A1369" s="481">
        <v>45869</v>
      </c>
      <c r="B1369" s="482" t="s">
        <v>2461</v>
      </c>
      <c r="C1369" s="482" t="s">
        <v>152</v>
      </c>
      <c r="D1369" s="482" t="s">
        <v>117</v>
      </c>
      <c r="E1369" s="379">
        <v>5000</v>
      </c>
      <c r="F1369" s="358">
        <f t="shared" si="7"/>
        <v>9.2979283099973937</v>
      </c>
      <c r="G1369" s="491">
        <v>537.75419999999997</v>
      </c>
      <c r="H1369" s="482" t="s">
        <v>193</v>
      </c>
      <c r="I1369" s="130" t="s">
        <v>2466</v>
      </c>
      <c r="J1369" s="130" t="s">
        <v>98</v>
      </c>
      <c r="K1369" s="130" t="s">
        <v>2638</v>
      </c>
      <c r="L1369" s="148" t="s">
        <v>155</v>
      </c>
      <c r="M1369" s="130"/>
      <c r="N1369" s="130"/>
      <c r="O1369" s="130"/>
    </row>
    <row r="1370" spans="1:15" ht="16.5">
      <c r="A1370" s="481">
        <v>45869</v>
      </c>
      <c r="B1370" s="185" t="s">
        <v>2476</v>
      </c>
      <c r="C1370" s="185" t="s">
        <v>152</v>
      </c>
      <c r="D1370" s="185" t="s">
        <v>117</v>
      </c>
      <c r="E1370" s="379">
        <v>5000</v>
      </c>
      <c r="F1370" s="358">
        <f t="shared" si="7"/>
        <v>9.2979283099973937</v>
      </c>
      <c r="G1370" s="491">
        <v>537.75419999999997</v>
      </c>
      <c r="H1370" s="185" t="s">
        <v>196</v>
      </c>
      <c r="I1370" s="185" t="s">
        <v>2484</v>
      </c>
      <c r="J1370" s="130" t="s">
        <v>98</v>
      </c>
      <c r="K1370" s="130" t="s">
        <v>2638</v>
      </c>
      <c r="L1370" s="148" t="s">
        <v>155</v>
      </c>
      <c r="M1370" s="130"/>
      <c r="N1370" s="130"/>
      <c r="O1370" s="130"/>
    </row>
    <row r="1371" spans="1:15" ht="16.5">
      <c r="A1371" s="481">
        <v>45869</v>
      </c>
      <c r="B1371" s="185" t="s">
        <v>2477</v>
      </c>
      <c r="C1371" s="185" t="s">
        <v>175</v>
      </c>
      <c r="D1371" s="185" t="s">
        <v>117</v>
      </c>
      <c r="E1371" s="379">
        <v>1000</v>
      </c>
      <c r="F1371" s="358">
        <f t="shared" si="7"/>
        <v>1.8595856619994786</v>
      </c>
      <c r="G1371" s="491">
        <v>537.75419999999997</v>
      </c>
      <c r="H1371" s="185" t="s">
        <v>196</v>
      </c>
      <c r="I1371" s="185" t="s">
        <v>2480</v>
      </c>
      <c r="J1371" s="130" t="s">
        <v>98</v>
      </c>
      <c r="K1371" s="130" t="s">
        <v>2638</v>
      </c>
      <c r="L1371" s="148" t="s">
        <v>155</v>
      </c>
      <c r="M1371" s="130"/>
      <c r="N1371" s="130"/>
      <c r="O1371" s="130"/>
    </row>
    <row r="1372" spans="1:15" ht="16.5">
      <c r="A1372" s="481">
        <v>45869</v>
      </c>
      <c r="B1372" s="185" t="s">
        <v>2478</v>
      </c>
      <c r="C1372" s="262" t="s">
        <v>175</v>
      </c>
      <c r="D1372" s="185" t="s">
        <v>117</v>
      </c>
      <c r="E1372" s="379">
        <v>1000</v>
      </c>
      <c r="F1372" s="358">
        <f t="shared" si="7"/>
        <v>1.8595856619994786</v>
      </c>
      <c r="G1372" s="491">
        <v>537.75419999999997</v>
      </c>
      <c r="H1372" s="185" t="s">
        <v>196</v>
      </c>
      <c r="I1372" s="185" t="s">
        <v>2480</v>
      </c>
      <c r="J1372" s="130" t="s">
        <v>98</v>
      </c>
      <c r="K1372" s="130" t="s">
        <v>2638</v>
      </c>
      <c r="L1372" s="148" t="s">
        <v>155</v>
      </c>
      <c r="M1372" s="130"/>
      <c r="N1372" s="130"/>
      <c r="O1372" s="130"/>
    </row>
    <row r="1373" spans="1:15" ht="16.5">
      <c r="A1373" s="481">
        <v>45869</v>
      </c>
      <c r="B1373" s="265" t="s">
        <v>2651</v>
      </c>
      <c r="C1373" s="482" t="s">
        <v>152</v>
      </c>
      <c r="D1373" s="482" t="s">
        <v>117</v>
      </c>
      <c r="E1373" s="482">
        <v>5000</v>
      </c>
      <c r="F1373" s="358">
        <f t="shared" si="7"/>
        <v>9.2979283099973937</v>
      </c>
      <c r="G1373" s="491">
        <v>537.75419999999997</v>
      </c>
      <c r="H1373" s="482" t="s">
        <v>190</v>
      </c>
      <c r="I1373" s="130" t="s">
        <v>2531</v>
      </c>
      <c r="J1373" s="130" t="s">
        <v>98</v>
      </c>
      <c r="K1373" s="130" t="s">
        <v>2638</v>
      </c>
      <c r="L1373" s="148" t="s">
        <v>155</v>
      </c>
      <c r="M1373" s="130"/>
      <c r="N1373" s="130"/>
      <c r="O1373" s="130"/>
    </row>
  </sheetData>
  <autoFilter ref="A1:O1373">
    <filterColumn colId="0">
      <filters>
        <dateGroupItem year="2025" month="7" dateTimeGrouping="month"/>
      </filters>
    </filterColumn>
  </autoFilter>
  <dataValidations count="1">
    <dataValidation type="list" allowBlank="1" showInputMessage="1" showErrorMessage="1" sqref="C44:C46 C177:C178 C59:C60 C55 C175 C326 C232 C948 C1003:C1006 C965:C967 C953 C995:C999 C835:C837 C945:C946 C829:C832 C933:C940 C825 C827 C943 C957:C958 C1001 C1008:C1010 C960 C962 C1142:C1143 C1150:C1151 C1334:C1336 C1305 C1302 C1292"/>
  </dataValidations>
  <pageMargins left="0.7" right="0.7" top="0.78740157499999996" bottom="0.78740157499999996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6"/>
  <sheetViews>
    <sheetView zoomScale="72" zoomScaleNormal="72" workbookViewId="0">
      <pane ySplit="1" topLeftCell="A43" activePane="bottomLeft" state="frozen"/>
      <selection pane="bottomLeft" activeCell="J79" sqref="J79"/>
    </sheetView>
  </sheetViews>
  <sheetFormatPr baseColWidth="10" defaultColWidth="8.75" defaultRowHeight="14.25"/>
  <cols>
    <col min="1" max="8" width="13.375" customWidth="1"/>
    <col min="9" max="9" width="16" customWidth="1"/>
    <col min="10" max="10" width="19.125" style="167" customWidth="1"/>
    <col min="11" max="11" width="21.375" bestFit="1" customWidth="1"/>
    <col min="12" max="12" width="25.125" customWidth="1"/>
    <col min="13" max="13" width="20.75" customWidth="1"/>
    <col min="14" max="14" width="23" customWidth="1"/>
    <col min="15" max="15" width="19.75" customWidth="1"/>
  </cols>
  <sheetData>
    <row r="1" spans="1:15" ht="25.5">
      <c r="A1" s="100" t="s">
        <v>498</v>
      </c>
      <c r="B1" s="101" t="s">
        <v>75</v>
      </c>
      <c r="C1" s="101" t="s">
        <v>76</v>
      </c>
      <c r="D1" s="101" t="s">
        <v>77</v>
      </c>
      <c r="E1" s="101" t="s">
        <v>78</v>
      </c>
      <c r="F1" s="101" t="s">
        <v>79</v>
      </c>
      <c r="G1" s="101" t="s">
        <v>80</v>
      </c>
      <c r="H1" s="101" t="s">
        <v>81</v>
      </c>
      <c r="I1" s="101" t="s">
        <v>73</v>
      </c>
      <c r="J1" s="166" t="s">
        <v>74</v>
      </c>
    </row>
    <row r="2" spans="1:15">
      <c r="A2" s="102" t="s">
        <v>2353</v>
      </c>
      <c r="B2" s="103"/>
      <c r="C2" s="104"/>
      <c r="D2" s="104">
        <f>SUM(D3:D8)</f>
        <v>5377542</v>
      </c>
      <c r="E2" s="104">
        <f>SUM(E3:E8)</f>
        <v>10000</v>
      </c>
      <c r="F2" s="104">
        <f>SUM(F3:F8)</f>
        <v>4084833</v>
      </c>
      <c r="G2" s="104">
        <f>SUM(G3:G8)</f>
        <v>7596.0968784623183</v>
      </c>
      <c r="H2" s="104">
        <f>B2+D2-F2</f>
        <v>1292709</v>
      </c>
      <c r="I2" s="104">
        <f>C2+E2-G2</f>
        <v>2403.9031215376817</v>
      </c>
    </row>
    <row r="3" spans="1:15">
      <c r="A3" s="105" t="s">
        <v>88</v>
      </c>
      <c r="B3" s="109"/>
      <c r="C3" s="112"/>
      <c r="D3" s="112">
        <f>GETPIVOTDATA("Somme de Receved in XAF",$K$3,"Donor","ELONGA")</f>
        <v>5377542</v>
      </c>
      <c r="E3" s="219">
        <f>GETPIVOTDATA("Somme de Receved  $",$K$3,"Donor","ELONGA")</f>
        <v>10000</v>
      </c>
      <c r="F3" s="218">
        <f>+GETPIVOTDATA("Somme de Spent  in XAF",$K$3,"Donor","ELONGA")</f>
        <v>4084833</v>
      </c>
      <c r="G3" s="219">
        <f>+GETPIVOTDATA("Somme de Spent in $",$K$3,"Donor","ELONGA")</f>
        <v>7596.0968784623183</v>
      </c>
      <c r="H3" s="112">
        <f>B2+D3-F3</f>
        <v>1292709</v>
      </c>
      <c r="I3" s="112">
        <f>C2+E3-G3</f>
        <v>2403.9031215376817</v>
      </c>
      <c r="J3" s="173"/>
      <c r="K3" s="174" t="s">
        <v>522</v>
      </c>
      <c r="L3" t="s">
        <v>2334</v>
      </c>
      <c r="M3" t="s">
        <v>2335</v>
      </c>
      <c r="N3" t="s">
        <v>524</v>
      </c>
      <c r="O3" t="s">
        <v>529</v>
      </c>
    </row>
    <row r="4" spans="1:15">
      <c r="A4" s="105" t="s">
        <v>89</v>
      </c>
      <c r="B4" s="109"/>
      <c r="C4" s="112"/>
      <c r="D4" s="112"/>
      <c r="E4" s="219"/>
      <c r="F4" s="218"/>
      <c r="G4" s="219"/>
      <c r="H4" s="112">
        <f>H3+D4-F4</f>
        <v>1292709</v>
      </c>
      <c r="I4" s="112">
        <f>I3+E4-G4</f>
        <v>2403.9031215376817</v>
      </c>
      <c r="K4" s="150" t="s">
        <v>2638</v>
      </c>
      <c r="L4" s="360">
        <v>5377542</v>
      </c>
      <c r="M4" s="360">
        <v>10000</v>
      </c>
      <c r="N4" s="360">
        <v>4084833</v>
      </c>
      <c r="O4" s="360">
        <v>7596.0968784623183</v>
      </c>
    </row>
    <row r="5" spans="1:15">
      <c r="A5" s="108" t="s">
        <v>90</v>
      </c>
      <c r="B5" s="106"/>
      <c r="C5" s="106"/>
      <c r="D5" s="106"/>
      <c r="E5" s="106"/>
      <c r="F5" s="107"/>
      <c r="G5" s="106"/>
      <c r="H5" s="112">
        <f t="shared" ref="H5:H8" si="0">H4+D5-F5</f>
        <v>1292709</v>
      </c>
      <c r="I5" s="112">
        <f t="shared" ref="I5:I8" si="1">I4+E5-G5</f>
        <v>2403.9031215376817</v>
      </c>
      <c r="K5" s="175" t="s">
        <v>2645</v>
      </c>
      <c r="L5" s="360">
        <v>5377542</v>
      </c>
      <c r="M5" s="360">
        <v>10000</v>
      </c>
      <c r="N5" s="360">
        <v>4084833</v>
      </c>
      <c r="O5" s="360">
        <v>7596.0968784623183</v>
      </c>
    </row>
    <row r="6" spans="1:15">
      <c r="A6" s="105" t="s">
        <v>91</v>
      </c>
      <c r="B6" s="106"/>
      <c r="C6" s="106"/>
      <c r="D6" s="106"/>
      <c r="E6" s="106"/>
      <c r="F6" s="107"/>
      <c r="G6" s="106"/>
      <c r="H6" s="112">
        <f t="shared" si="0"/>
        <v>1292709</v>
      </c>
      <c r="I6" s="112">
        <f t="shared" si="1"/>
        <v>2403.9031215376817</v>
      </c>
      <c r="K6" s="150" t="s">
        <v>205</v>
      </c>
      <c r="L6" s="360">
        <v>17389380</v>
      </c>
      <c r="M6" s="360">
        <v>30000</v>
      </c>
      <c r="N6" s="360">
        <v>38956819</v>
      </c>
      <c r="O6" s="360">
        <v>67675.982714933547</v>
      </c>
    </row>
    <row r="7" spans="1:15">
      <c r="A7" s="105" t="s">
        <v>92</v>
      </c>
      <c r="B7" s="106"/>
      <c r="C7" s="106"/>
      <c r="D7" s="106"/>
      <c r="E7" s="106"/>
      <c r="F7" s="107"/>
      <c r="G7" s="106"/>
      <c r="H7" s="112">
        <f t="shared" si="0"/>
        <v>1292709</v>
      </c>
      <c r="I7" s="112">
        <f t="shared" si="1"/>
        <v>2403.9031215376817</v>
      </c>
      <c r="K7" s="175" t="s">
        <v>2639</v>
      </c>
      <c r="L7" s="360"/>
      <c r="M7" s="360"/>
      <c r="N7" s="360">
        <v>4559707</v>
      </c>
      <c r="O7" s="360">
        <v>7722.280285933226</v>
      </c>
    </row>
    <row r="8" spans="1:15">
      <c r="A8" s="105" t="s">
        <v>93</v>
      </c>
      <c r="B8" s="106"/>
      <c r="C8" s="106"/>
      <c r="D8" s="106"/>
      <c r="E8" s="106"/>
      <c r="F8" s="107"/>
      <c r="G8" s="106"/>
      <c r="H8" s="112">
        <f t="shared" si="0"/>
        <v>1292709</v>
      </c>
      <c r="I8" s="112">
        <f t="shared" si="1"/>
        <v>2403.9031215376817</v>
      </c>
      <c r="K8" s="175" t="s">
        <v>2640</v>
      </c>
      <c r="L8" s="360">
        <v>17389380</v>
      </c>
      <c r="M8" s="360">
        <v>30000</v>
      </c>
      <c r="N8" s="360">
        <v>17852548</v>
      </c>
      <c r="O8" s="360">
        <v>30806.433646228274</v>
      </c>
    </row>
    <row r="9" spans="1:15">
      <c r="A9" s="133" t="s">
        <v>2354</v>
      </c>
      <c r="B9" s="103"/>
      <c r="C9" s="104"/>
      <c r="D9" s="104">
        <f>SUM(D10:D15)</f>
        <v>0</v>
      </c>
      <c r="E9" s="104">
        <f>SUM(E10:E15)</f>
        <v>0</v>
      </c>
      <c r="F9" s="104">
        <f>SUM(F10:F15)</f>
        <v>0</v>
      </c>
      <c r="G9" s="104">
        <f>SUM(G10:G15)</f>
        <v>0</v>
      </c>
      <c r="H9" s="104">
        <f>B9+D9-F9</f>
        <v>0</v>
      </c>
      <c r="I9" s="104">
        <f>C9+E9-G9</f>
        <v>0</v>
      </c>
      <c r="K9" s="175" t="s">
        <v>2641</v>
      </c>
      <c r="L9" s="360"/>
      <c r="M9" s="360"/>
      <c r="N9" s="360">
        <v>1171000</v>
      </c>
      <c r="O9" s="360">
        <v>2013.9213225330598</v>
      </c>
    </row>
    <row r="10" spans="1:15">
      <c r="A10" s="105" t="s">
        <v>88</v>
      </c>
      <c r="B10" s="106"/>
      <c r="C10" s="106"/>
      <c r="D10" s="106"/>
      <c r="E10" s="106"/>
      <c r="F10" s="107"/>
      <c r="G10" s="106"/>
      <c r="H10" s="112">
        <f>B9+D10-F10</f>
        <v>0</v>
      </c>
      <c r="I10" s="112">
        <f>C9+E10-G10</f>
        <v>0</v>
      </c>
      <c r="K10" s="175" t="s">
        <v>2642</v>
      </c>
      <c r="L10" s="360"/>
      <c r="M10" s="360"/>
      <c r="N10" s="360">
        <v>8553739</v>
      </c>
      <c r="O10" s="360">
        <v>14975.550104617092</v>
      </c>
    </row>
    <row r="11" spans="1:15">
      <c r="A11" s="105" t="s">
        <v>89</v>
      </c>
      <c r="B11" s="106"/>
      <c r="C11" s="106"/>
      <c r="D11" s="106"/>
      <c r="E11" s="106"/>
      <c r="F11" s="107"/>
      <c r="G11" s="106"/>
      <c r="H11" s="112">
        <f t="shared" ref="H11:H15" si="2">H10+D11-F11</f>
        <v>0</v>
      </c>
      <c r="I11" s="112">
        <f t="shared" ref="I11:I15" si="3">I10+E11-G11</f>
        <v>0</v>
      </c>
      <c r="K11" s="175" t="s">
        <v>2643</v>
      </c>
      <c r="L11" s="360"/>
      <c r="M11" s="360"/>
      <c r="N11" s="360">
        <v>6819825</v>
      </c>
      <c r="O11" s="360">
        <v>12157.797355621908</v>
      </c>
    </row>
    <row r="12" spans="1:15">
      <c r="A12" s="108" t="s">
        <v>90</v>
      </c>
      <c r="B12" s="106"/>
      <c r="C12" s="106"/>
      <c r="D12" s="106"/>
      <c r="E12" s="106"/>
      <c r="F12" s="107"/>
      <c r="G12" s="106"/>
      <c r="H12" s="112">
        <f t="shared" si="2"/>
        <v>0</v>
      </c>
      <c r="I12" s="112">
        <f t="shared" si="3"/>
        <v>0</v>
      </c>
      <c r="K12" s="150" t="s">
        <v>1285</v>
      </c>
      <c r="L12" s="360">
        <v>8240611</v>
      </c>
      <c r="M12" s="360">
        <v>15000</v>
      </c>
      <c r="N12" s="360">
        <v>8233396</v>
      </c>
      <c r="O12" s="360">
        <v>14986.398740695251</v>
      </c>
    </row>
    <row r="13" spans="1:15">
      <c r="A13" s="105" t="s">
        <v>91</v>
      </c>
      <c r="B13" s="106"/>
      <c r="C13" s="106"/>
      <c r="D13" s="106"/>
      <c r="E13" s="106"/>
      <c r="F13" s="107"/>
      <c r="G13" s="106"/>
      <c r="H13" s="112">
        <f t="shared" si="2"/>
        <v>0</v>
      </c>
      <c r="I13" s="112">
        <f t="shared" si="3"/>
        <v>0</v>
      </c>
      <c r="K13" s="175" t="s">
        <v>2640</v>
      </c>
      <c r="L13" s="360">
        <v>2898230</v>
      </c>
      <c r="M13" s="360">
        <v>5000</v>
      </c>
      <c r="N13" s="360">
        <v>2392885</v>
      </c>
      <c r="O13" s="360">
        <v>4128.1834084941502</v>
      </c>
    </row>
    <row r="14" spans="1:15">
      <c r="A14" s="105" t="s">
        <v>92</v>
      </c>
      <c r="B14" s="106"/>
      <c r="C14" s="106"/>
      <c r="D14" s="106"/>
      <c r="E14" s="106"/>
      <c r="F14" s="107"/>
      <c r="G14" s="106"/>
      <c r="H14" s="112">
        <f t="shared" si="2"/>
        <v>0</v>
      </c>
      <c r="I14" s="112">
        <f t="shared" si="3"/>
        <v>0</v>
      </c>
      <c r="K14" s="175" t="s">
        <v>2641</v>
      </c>
      <c r="L14" s="360"/>
      <c r="M14" s="360"/>
      <c r="N14" s="360">
        <v>506000</v>
      </c>
      <c r="O14" s="360">
        <v>872.94659154035401</v>
      </c>
    </row>
    <row r="15" spans="1:15">
      <c r="A15" s="105" t="s">
        <v>93</v>
      </c>
      <c r="B15" s="106"/>
      <c r="C15" s="106"/>
      <c r="D15" s="106"/>
      <c r="E15" s="106"/>
      <c r="F15" s="107"/>
      <c r="G15" s="106"/>
      <c r="H15" s="112">
        <f t="shared" si="2"/>
        <v>0</v>
      </c>
      <c r="I15" s="112">
        <f t="shared" si="3"/>
        <v>0</v>
      </c>
      <c r="J15" s="173">
        <f>844005/1375</f>
        <v>613.82181818181823</v>
      </c>
      <c r="K15" s="175" t="s">
        <v>2645</v>
      </c>
      <c r="L15" s="360">
        <v>5342381</v>
      </c>
      <c r="M15" s="360">
        <v>10000</v>
      </c>
      <c r="N15" s="360">
        <v>5334511</v>
      </c>
      <c r="O15" s="360">
        <v>9985.2687406607474</v>
      </c>
    </row>
    <row r="16" spans="1:15">
      <c r="A16" s="102" t="s">
        <v>1690</v>
      </c>
      <c r="B16" s="103">
        <f>C16*J28</f>
        <v>0</v>
      </c>
      <c r="C16" s="104">
        <v>0</v>
      </c>
      <c r="D16" s="104">
        <f>SUM(D17:D28)</f>
        <v>31510820</v>
      </c>
      <c r="E16" s="104">
        <f>SUM(E17:E28)</f>
        <v>55000</v>
      </c>
      <c r="F16" s="104">
        <f>SUM(F17:F28)</f>
        <v>19414931</v>
      </c>
      <c r="G16" s="104">
        <f>SUM(G17:G28)</f>
        <v>33767.179986447256</v>
      </c>
      <c r="H16" s="104">
        <f>B16+D16-F16</f>
        <v>12095889</v>
      </c>
      <c r="I16" s="104">
        <f>C16+E16-G16</f>
        <v>21232.820013552744</v>
      </c>
      <c r="K16" s="150" t="s">
        <v>499</v>
      </c>
      <c r="L16" s="360"/>
      <c r="M16" s="360"/>
      <c r="N16" s="360">
        <v>3055340</v>
      </c>
      <c r="O16" s="360">
        <v>4977.5684082904827</v>
      </c>
    </row>
    <row r="17" spans="1:15">
      <c r="A17" s="113" t="s">
        <v>82</v>
      </c>
      <c r="B17" s="109"/>
      <c r="C17" s="110"/>
      <c r="D17" s="110"/>
      <c r="E17" s="109"/>
      <c r="F17" s="111"/>
      <c r="G17" s="109"/>
      <c r="H17" s="112">
        <f>B16+D17-F17</f>
        <v>0</v>
      </c>
      <c r="I17" s="112">
        <f>C16+E17-G17</f>
        <v>0</v>
      </c>
      <c r="K17" s="175" t="s">
        <v>2639</v>
      </c>
      <c r="L17" s="360"/>
      <c r="M17" s="360"/>
      <c r="N17" s="360">
        <v>3055340</v>
      </c>
      <c r="O17" s="360">
        <v>4977.5684082904827</v>
      </c>
    </row>
    <row r="18" spans="1:15">
      <c r="A18" s="113" t="s">
        <v>83</v>
      </c>
      <c r="B18" s="109"/>
      <c r="C18" s="110"/>
      <c r="D18" s="110"/>
      <c r="E18" s="109"/>
      <c r="F18" s="111"/>
      <c r="G18" s="109"/>
      <c r="H18" s="112">
        <f>H17+D18-F18</f>
        <v>0</v>
      </c>
      <c r="I18" s="112">
        <f>I17+E18-G18</f>
        <v>0</v>
      </c>
      <c r="K18" s="150" t="s">
        <v>1284</v>
      </c>
      <c r="L18" s="360"/>
      <c r="M18" s="360"/>
      <c r="N18" s="360">
        <v>2107400</v>
      </c>
      <c r="O18" s="360">
        <v>3635.6672865852611</v>
      </c>
    </row>
    <row r="19" spans="1:15">
      <c r="A19" s="114" t="s">
        <v>84</v>
      </c>
      <c r="B19" s="106"/>
      <c r="C19" s="106"/>
      <c r="D19" s="106"/>
      <c r="E19" s="106"/>
      <c r="F19" s="107"/>
      <c r="G19" s="106"/>
      <c r="H19" s="112">
        <f t="shared" ref="H19:H28" si="4">H18+D19-F19</f>
        <v>0</v>
      </c>
      <c r="I19" s="112">
        <f t="shared" ref="I19:I28" si="5">I18+E19-G19</f>
        <v>0</v>
      </c>
      <c r="K19" s="175" t="s">
        <v>2640</v>
      </c>
      <c r="L19" s="360"/>
      <c r="M19" s="360"/>
      <c r="N19" s="360">
        <v>2107400</v>
      </c>
      <c r="O19" s="360">
        <v>3635.6672865852611</v>
      </c>
    </row>
    <row r="20" spans="1:15">
      <c r="A20" s="113" t="s">
        <v>85</v>
      </c>
      <c r="B20" s="106"/>
      <c r="C20" s="106"/>
      <c r="D20" s="106">
        <f>GETPIVOTDATA("Somme de Receved in XAF",$K$3,"Donor","Wildcat 2025","Mois",4)</f>
        <v>17487258</v>
      </c>
      <c r="E20" s="106">
        <f>GETPIVOTDATA("Somme de Receved  $",$K$3,"Donor","Wildcat 2025","Mois",4)</f>
        <v>30000</v>
      </c>
      <c r="F20" s="107">
        <f>GETPIVOTDATA("Somme de Spent  in XAF",$K$3,"Donor","Wildcat 2025","Mois",4)</f>
        <v>12009908</v>
      </c>
      <c r="G20" s="106">
        <f>GETPIVOTDATA("Somme de Spent in $",$K$3,"Donor","Wildcat 2025","Mois",4)</f>
        <v>20603.401216999559</v>
      </c>
      <c r="H20" s="112">
        <f t="shared" si="4"/>
        <v>5477350</v>
      </c>
      <c r="I20" s="112">
        <f t="shared" si="5"/>
        <v>9396.5987830004415</v>
      </c>
      <c r="K20" s="150" t="s">
        <v>2149</v>
      </c>
      <c r="L20" s="360">
        <v>17885797</v>
      </c>
      <c r="M20" s="360">
        <v>30000</v>
      </c>
      <c r="N20" s="360">
        <v>13654604</v>
      </c>
      <c r="O20" s="360">
        <v>23208.427443302349</v>
      </c>
    </row>
    <row r="21" spans="1:15">
      <c r="A21" s="114" t="s">
        <v>86</v>
      </c>
      <c r="B21" s="106"/>
      <c r="C21" s="106"/>
      <c r="D21" s="106">
        <f>GETPIVOTDATA("Somme de Receved in XAF",$K$3,"Donor","Wildcat 2025","Mois",5)</f>
        <v>14023562</v>
      </c>
      <c r="E21" s="106">
        <f>GETPIVOTDATA("Somme de Receved  $",$K$3,"Donor","Wildcat 2025","Mois",5)</f>
        <v>25000</v>
      </c>
      <c r="F21" s="107">
        <f>GETPIVOTDATA("Somme de Spent  in XAF",$K$3,"Donor","Wildcat 2025","Mois",5)</f>
        <v>3911880</v>
      </c>
      <c r="G21" s="106">
        <f>GETPIVOTDATA("Somme de Spent in $",$K$3,"Donor","Wildcat 2025","Mois",5)</f>
        <v>6936.5039158833861</v>
      </c>
      <c r="H21" s="112">
        <f t="shared" si="4"/>
        <v>15589032</v>
      </c>
      <c r="I21" s="112">
        <f t="shared" si="5"/>
        <v>27460.094867117059</v>
      </c>
      <c r="K21" s="175" t="s">
        <v>2644</v>
      </c>
      <c r="L21" s="360">
        <v>17885797</v>
      </c>
      <c r="M21" s="360">
        <v>30000</v>
      </c>
      <c r="N21" s="360">
        <v>12832742</v>
      </c>
      <c r="O21" s="360">
        <v>21829.91075491453</v>
      </c>
    </row>
    <row r="22" spans="1:15">
      <c r="A22" s="105" t="s">
        <v>87</v>
      </c>
      <c r="B22" s="106"/>
      <c r="C22" s="106"/>
      <c r="D22" s="106"/>
      <c r="E22" s="106"/>
      <c r="F22" s="107">
        <f>GETPIVOTDATA("Somme de Spent  in XAF",$K$3,"Donor","Wildcat 2025","Mois",6)</f>
        <v>1782188</v>
      </c>
      <c r="G22" s="106">
        <f>GETPIVOTDATA("Somme de Spent in $",$K$3,"Donor","Wildcat 2025","Mois",6)</f>
        <v>3177.1314591827681</v>
      </c>
      <c r="H22" s="112">
        <f t="shared" si="4"/>
        <v>13806844</v>
      </c>
      <c r="I22" s="112">
        <f t="shared" si="5"/>
        <v>24282.96340793429</v>
      </c>
      <c r="K22" s="175" t="s">
        <v>2639</v>
      </c>
      <c r="L22" s="360"/>
      <c r="M22" s="360"/>
      <c r="N22" s="360">
        <v>821862</v>
      </c>
      <c r="O22" s="360">
        <v>1378.5166883878207</v>
      </c>
    </row>
    <row r="23" spans="1:15">
      <c r="A23" s="105" t="s">
        <v>88</v>
      </c>
      <c r="B23" s="106"/>
      <c r="C23" s="106"/>
      <c r="D23" s="106"/>
      <c r="E23" s="106"/>
      <c r="F23" s="107">
        <f>GETPIVOTDATA("Somme de Spent  in XAF",$K$3,"Donor","Wildcat 2025","Mois",7)</f>
        <v>1710955</v>
      </c>
      <c r="G23" s="106">
        <f>GETPIVOTDATA("Somme de Spent in $",$K$3,"Donor","Wildcat 2025","Mois",7)</f>
        <v>3050.1433943815391</v>
      </c>
      <c r="H23" s="112">
        <f t="shared" si="4"/>
        <v>12095889</v>
      </c>
      <c r="I23" s="112">
        <f t="shared" si="5"/>
        <v>21232.820013552751</v>
      </c>
      <c r="K23" s="150" t="s">
        <v>2150</v>
      </c>
      <c r="L23" s="360">
        <v>31510820</v>
      </c>
      <c r="M23" s="360">
        <v>55000</v>
      </c>
      <c r="N23" s="360">
        <v>19414931</v>
      </c>
      <c r="O23" s="360">
        <v>33767.179986447256</v>
      </c>
    </row>
    <row r="24" spans="1:15">
      <c r="A24" s="105" t="s">
        <v>89</v>
      </c>
      <c r="B24" s="106"/>
      <c r="C24" s="106"/>
      <c r="D24" s="106"/>
      <c r="E24" s="106"/>
      <c r="F24" s="107"/>
      <c r="G24" s="106"/>
      <c r="H24" s="112">
        <f t="shared" si="4"/>
        <v>12095889</v>
      </c>
      <c r="I24" s="112">
        <f t="shared" si="5"/>
        <v>21232.820013552751</v>
      </c>
      <c r="K24" s="175" t="s">
        <v>2641</v>
      </c>
      <c r="L24" s="360">
        <v>17487258</v>
      </c>
      <c r="M24" s="360">
        <v>30000</v>
      </c>
      <c r="N24" s="360">
        <v>12009908</v>
      </c>
      <c r="O24" s="360">
        <v>20603.401216999559</v>
      </c>
    </row>
    <row r="25" spans="1:15">
      <c r="A25" s="108" t="s">
        <v>90</v>
      </c>
      <c r="B25" s="106"/>
      <c r="C25" s="106"/>
      <c r="D25" s="106"/>
      <c r="E25" s="106"/>
      <c r="F25" s="107"/>
      <c r="G25" s="106"/>
      <c r="H25" s="112">
        <f t="shared" si="4"/>
        <v>12095889</v>
      </c>
      <c r="I25" s="112">
        <f t="shared" si="5"/>
        <v>21232.820013552751</v>
      </c>
      <c r="K25" s="175" t="s">
        <v>2642</v>
      </c>
      <c r="L25" s="360">
        <v>14023562</v>
      </c>
      <c r="M25" s="360">
        <v>25000</v>
      </c>
      <c r="N25" s="360">
        <v>3911880</v>
      </c>
      <c r="O25" s="360">
        <v>6936.5039158833861</v>
      </c>
    </row>
    <row r="26" spans="1:15">
      <c r="A26" s="105" t="s">
        <v>91</v>
      </c>
      <c r="B26" s="106"/>
      <c r="C26" s="106"/>
      <c r="D26" s="106"/>
      <c r="E26" s="106"/>
      <c r="F26" s="107"/>
      <c r="G26" s="106"/>
      <c r="H26" s="112">
        <f t="shared" si="4"/>
        <v>12095889</v>
      </c>
      <c r="I26" s="112">
        <f t="shared" si="5"/>
        <v>21232.820013552751</v>
      </c>
      <c r="K26" s="175" t="s">
        <v>2643</v>
      </c>
      <c r="L26" s="360"/>
      <c r="M26" s="360"/>
      <c r="N26" s="360">
        <v>1782188</v>
      </c>
      <c r="O26" s="360">
        <v>3177.1314591827681</v>
      </c>
    </row>
    <row r="27" spans="1:15">
      <c r="A27" s="105" t="s">
        <v>92</v>
      </c>
      <c r="B27" s="106"/>
      <c r="C27" s="106"/>
      <c r="D27" s="106"/>
      <c r="E27" s="106"/>
      <c r="F27" s="107"/>
      <c r="G27" s="106"/>
      <c r="H27" s="112">
        <f t="shared" si="4"/>
        <v>12095889</v>
      </c>
      <c r="I27" s="112">
        <f t="shared" si="5"/>
        <v>21232.820013552751</v>
      </c>
      <c r="K27" s="175" t="s">
        <v>2645</v>
      </c>
      <c r="L27" s="360"/>
      <c r="M27" s="360"/>
      <c r="N27" s="360">
        <v>1710955</v>
      </c>
      <c r="O27" s="360">
        <v>3050.1433943815391</v>
      </c>
    </row>
    <row r="28" spans="1:15">
      <c r="A28" s="115" t="s">
        <v>93</v>
      </c>
      <c r="B28" s="116"/>
      <c r="C28" s="116"/>
      <c r="D28" s="116"/>
      <c r="E28" s="116"/>
      <c r="F28" s="117"/>
      <c r="G28" s="116"/>
      <c r="H28" s="112">
        <f t="shared" si="4"/>
        <v>12095889</v>
      </c>
      <c r="I28" s="112">
        <f t="shared" si="5"/>
        <v>21232.820013552751</v>
      </c>
      <c r="J28" s="173"/>
      <c r="K28" s="150" t="s">
        <v>523</v>
      </c>
      <c r="L28" s="360">
        <v>80404150</v>
      </c>
      <c r="M28" s="360">
        <v>140000</v>
      </c>
      <c r="N28" s="360">
        <v>89507323</v>
      </c>
      <c r="O28" s="360">
        <v>155847.32145871647</v>
      </c>
    </row>
    <row r="29" spans="1:15">
      <c r="A29" s="102" t="s">
        <v>1285</v>
      </c>
      <c r="B29" s="103">
        <v>0</v>
      </c>
      <c r="C29" s="104">
        <v>0</v>
      </c>
      <c r="D29" s="104">
        <f>SUM(D30:D41)</f>
        <v>8240611</v>
      </c>
      <c r="E29" s="104">
        <f>SUM(E30:E41)</f>
        <v>15000</v>
      </c>
      <c r="F29" s="104">
        <f>SUM(F30:F41)</f>
        <v>8233396</v>
      </c>
      <c r="G29" s="104">
        <f>SUM(G30:G41)</f>
        <v>14986.398740695251</v>
      </c>
      <c r="H29" s="104">
        <f>B29+D29-F29</f>
        <v>7215</v>
      </c>
      <c r="I29" s="104">
        <f>C29+E29-G29</f>
        <v>13.601259304748964</v>
      </c>
    </row>
    <row r="30" spans="1:15">
      <c r="A30" s="113" t="s">
        <v>82</v>
      </c>
      <c r="B30" s="109"/>
      <c r="C30" s="110"/>
      <c r="D30" s="110"/>
      <c r="E30" s="109"/>
      <c r="F30" s="111"/>
      <c r="G30" s="109"/>
      <c r="H30" s="112">
        <f>B29+D30-F30</f>
        <v>0</v>
      </c>
      <c r="I30" s="112">
        <f>C29+E30-G30</f>
        <v>0</v>
      </c>
    </row>
    <row r="31" spans="1:15">
      <c r="A31" s="113" t="s">
        <v>83</v>
      </c>
      <c r="B31" s="109"/>
      <c r="C31" s="110"/>
      <c r="D31" s="110"/>
      <c r="E31" s="109"/>
      <c r="F31" s="111"/>
      <c r="G31" s="109"/>
      <c r="H31" s="112">
        <f>H30+D31-F31</f>
        <v>0</v>
      </c>
      <c r="I31" s="112">
        <f>I30+E31-G31</f>
        <v>0</v>
      </c>
    </row>
    <row r="32" spans="1:15">
      <c r="A32" s="114" t="s">
        <v>84</v>
      </c>
      <c r="B32" s="106"/>
      <c r="C32" s="106"/>
      <c r="D32" s="106">
        <f>GETPIVOTDATA("Somme de Receved in XAF",$K$3,"Donor","OAT","Mois",3)</f>
        <v>2898230</v>
      </c>
      <c r="E32" s="106">
        <f>GETPIVOTDATA("Somme de Receved  $",$K$3,"Donor","OAT","Mois",3)</f>
        <v>5000</v>
      </c>
      <c r="F32" s="107">
        <f>GETPIVOTDATA("Somme de Spent  in XAF",$K$3,"Donor","OAT","Mois",3)</f>
        <v>2392885</v>
      </c>
      <c r="G32" s="106">
        <f>GETPIVOTDATA("Somme de Spent in $",$K$3,"Donor","OAT","Mois",3)</f>
        <v>4128.1834084941502</v>
      </c>
      <c r="H32" s="112">
        <f t="shared" ref="H32:H41" si="6">H31+D32-F32</f>
        <v>505345</v>
      </c>
      <c r="I32" s="112">
        <f t="shared" ref="I32:I41" si="7">I31+E32-G32</f>
        <v>871.81659150584983</v>
      </c>
      <c r="J32" s="167">
        <f>+D20/E20</f>
        <v>582.90859999999998</v>
      </c>
    </row>
    <row r="33" spans="1:10">
      <c r="A33" s="113" t="s">
        <v>85</v>
      </c>
      <c r="B33" s="106"/>
      <c r="C33" s="106"/>
      <c r="D33" s="106"/>
      <c r="E33" s="106"/>
      <c r="F33" s="107">
        <f>GETPIVOTDATA("Somme de Spent  in XAF",$K$3,"Donor","OAT","Mois",4)</f>
        <v>506000</v>
      </c>
      <c r="G33" s="106">
        <f>GETPIVOTDATA("Somme de Spent in $",$K$3,"Donor","OAT","Mois",4)</f>
        <v>872.94659154035401</v>
      </c>
      <c r="H33" s="112">
        <f t="shared" si="6"/>
        <v>-655</v>
      </c>
      <c r="I33" s="112">
        <f t="shared" si="7"/>
        <v>-1.1300000345041781</v>
      </c>
      <c r="J33" s="167">
        <f>D21/E21</f>
        <v>560.94248000000005</v>
      </c>
    </row>
    <row r="34" spans="1:10">
      <c r="A34" s="114" t="s">
        <v>86</v>
      </c>
      <c r="B34" s="106"/>
      <c r="C34" s="106"/>
      <c r="D34" s="106"/>
      <c r="E34" s="106"/>
      <c r="F34" s="107"/>
      <c r="G34" s="106"/>
      <c r="H34" s="112">
        <f t="shared" si="6"/>
        <v>-655</v>
      </c>
      <c r="I34" s="112">
        <f t="shared" si="7"/>
        <v>-1.1300000345041781</v>
      </c>
    </row>
    <row r="35" spans="1:10">
      <c r="A35" s="105" t="s">
        <v>87</v>
      </c>
      <c r="B35" s="106"/>
      <c r="C35" s="106"/>
      <c r="D35" s="106"/>
      <c r="E35" s="106"/>
      <c r="F35" s="107"/>
      <c r="G35" s="106"/>
      <c r="H35" s="112">
        <f t="shared" si="6"/>
        <v>-655</v>
      </c>
      <c r="I35" s="112">
        <f t="shared" si="7"/>
        <v>-1.1300000345041781</v>
      </c>
    </row>
    <row r="36" spans="1:10">
      <c r="A36" s="105" t="s">
        <v>88</v>
      </c>
      <c r="B36" s="106"/>
      <c r="C36" s="106"/>
      <c r="D36" s="106">
        <f>GETPIVOTDATA("Somme de Receved in XAF",$K$3,"Donor","OAT","Mois",7)</f>
        <v>5342381</v>
      </c>
      <c r="E36" s="106">
        <f>GETPIVOTDATA("Somme de Receved  $",$K$3,"Donor","OAT","Mois",7)</f>
        <v>10000</v>
      </c>
      <c r="F36" s="107">
        <f>GETPIVOTDATA("Somme de Spent  in XAF",$K$3,"Donor","OAT","Mois",7)</f>
        <v>5334511</v>
      </c>
      <c r="G36" s="106">
        <f>GETPIVOTDATA("Somme de Spent in $",$K$3,"Donor","OAT","Mois",7)</f>
        <v>9985.2687406607474</v>
      </c>
      <c r="H36" s="112">
        <f t="shared" si="6"/>
        <v>7215</v>
      </c>
      <c r="I36" s="112">
        <f t="shared" si="7"/>
        <v>13.601259304748964</v>
      </c>
      <c r="J36" s="167">
        <f>D36/E36</f>
        <v>534.23810000000003</v>
      </c>
    </row>
    <row r="37" spans="1:10">
      <c r="A37" s="105" t="s">
        <v>89</v>
      </c>
      <c r="B37" s="106"/>
      <c r="C37" s="106"/>
      <c r="D37" s="106"/>
      <c r="E37" s="106"/>
      <c r="F37" s="107"/>
      <c r="G37" s="106"/>
      <c r="H37" s="112">
        <f t="shared" si="6"/>
        <v>7215</v>
      </c>
      <c r="I37" s="112">
        <f t="shared" si="7"/>
        <v>13.601259304748964</v>
      </c>
    </row>
    <row r="38" spans="1:10">
      <c r="A38" s="108" t="s">
        <v>90</v>
      </c>
      <c r="B38" s="106"/>
      <c r="C38" s="106"/>
      <c r="D38" s="106"/>
      <c r="E38" s="106"/>
      <c r="F38" s="107"/>
      <c r="G38" s="106"/>
      <c r="H38" s="112">
        <f t="shared" si="6"/>
        <v>7215</v>
      </c>
      <c r="I38" s="112">
        <f t="shared" si="7"/>
        <v>13.601259304748964</v>
      </c>
    </row>
    <row r="39" spans="1:10">
      <c r="A39" s="105" t="s">
        <v>91</v>
      </c>
      <c r="B39" s="106"/>
      <c r="C39" s="106"/>
      <c r="D39" s="106"/>
      <c r="E39" s="106"/>
      <c r="F39" s="107"/>
      <c r="G39" s="106"/>
      <c r="H39" s="112">
        <f t="shared" si="6"/>
        <v>7215</v>
      </c>
      <c r="I39" s="112">
        <f t="shared" si="7"/>
        <v>13.601259304748964</v>
      </c>
    </row>
    <row r="40" spans="1:10">
      <c r="A40" s="105" t="s">
        <v>92</v>
      </c>
      <c r="B40" s="106"/>
      <c r="C40" s="106"/>
      <c r="D40" s="106"/>
      <c r="E40" s="106"/>
      <c r="F40" s="107"/>
      <c r="G40" s="106"/>
      <c r="H40" s="112">
        <f t="shared" si="6"/>
        <v>7215</v>
      </c>
      <c r="I40" s="112">
        <f t="shared" si="7"/>
        <v>13.601259304748964</v>
      </c>
    </row>
    <row r="41" spans="1:10">
      <c r="A41" s="115" t="s">
        <v>93</v>
      </c>
      <c r="B41" s="116"/>
      <c r="C41" s="116"/>
      <c r="D41" s="116"/>
      <c r="E41" s="116"/>
      <c r="F41" s="117"/>
      <c r="G41" s="116"/>
      <c r="H41" s="112">
        <f t="shared" si="6"/>
        <v>7215</v>
      </c>
      <c r="I41" s="112">
        <f t="shared" si="7"/>
        <v>13.601259304748964</v>
      </c>
    </row>
    <row r="42" spans="1:10">
      <c r="A42" s="102"/>
      <c r="B42" s="103"/>
      <c r="C42" s="104"/>
      <c r="D42" s="104">
        <f>SUM(D43:D54)</f>
        <v>0</v>
      </c>
      <c r="E42" s="104">
        <f>SUM(E43:E54)</f>
        <v>0</v>
      </c>
      <c r="F42" s="104">
        <f>SUM(F43:F54)</f>
        <v>0</v>
      </c>
      <c r="G42" s="104">
        <f>SUM(G43:G54)</f>
        <v>0</v>
      </c>
      <c r="H42" s="104">
        <f>B42+D42-F42</f>
        <v>0</v>
      </c>
      <c r="I42" s="104">
        <f>C42+E42-G42</f>
        <v>0</v>
      </c>
    </row>
    <row r="43" spans="1:10">
      <c r="A43" s="113" t="s">
        <v>82</v>
      </c>
      <c r="B43" s="109"/>
      <c r="C43" s="110"/>
      <c r="D43" s="110"/>
      <c r="E43" s="109"/>
      <c r="F43" s="111"/>
      <c r="G43" s="109"/>
      <c r="H43" s="112"/>
      <c r="I43" s="112"/>
    </row>
    <row r="44" spans="1:10">
      <c r="A44" s="113" t="s">
        <v>83</v>
      </c>
      <c r="B44" s="109"/>
      <c r="C44" s="110"/>
      <c r="D44" s="110"/>
      <c r="E44" s="109"/>
      <c r="F44" s="218"/>
      <c r="G44" s="219"/>
      <c r="H44" s="112"/>
      <c r="I44" s="112"/>
    </row>
    <row r="45" spans="1:10">
      <c r="A45" s="114" t="s">
        <v>84</v>
      </c>
      <c r="B45" s="106"/>
      <c r="C45" s="106"/>
      <c r="D45" s="106"/>
      <c r="E45" s="106"/>
      <c r="F45" s="218"/>
      <c r="G45" s="106"/>
      <c r="H45" s="112"/>
      <c r="I45" s="112"/>
    </row>
    <row r="46" spans="1:10">
      <c r="A46" s="113" t="s">
        <v>85</v>
      </c>
      <c r="B46" s="106"/>
      <c r="C46" s="106"/>
      <c r="D46" s="106"/>
      <c r="E46" s="106"/>
      <c r="F46" s="218"/>
      <c r="G46" s="106"/>
      <c r="H46" s="112"/>
      <c r="I46" s="112"/>
    </row>
    <row r="47" spans="1:10">
      <c r="A47" s="114" t="s">
        <v>86</v>
      </c>
      <c r="B47" s="106"/>
      <c r="C47" s="106"/>
      <c r="D47" s="106"/>
      <c r="E47" s="106"/>
      <c r="F47" s="107"/>
      <c r="G47" s="106"/>
      <c r="H47" s="112"/>
      <c r="I47" s="112"/>
    </row>
    <row r="48" spans="1:10">
      <c r="A48" s="105" t="s">
        <v>87</v>
      </c>
      <c r="B48" s="106"/>
      <c r="C48" s="106"/>
      <c r="D48" s="106"/>
      <c r="E48" s="106"/>
      <c r="F48" s="107"/>
      <c r="G48" s="106"/>
      <c r="H48" s="112"/>
      <c r="I48" s="112"/>
    </row>
    <row r="49" spans="1:10">
      <c r="A49" s="105" t="s">
        <v>88</v>
      </c>
      <c r="B49" s="106"/>
      <c r="C49" s="106"/>
      <c r="D49" s="106"/>
      <c r="E49" s="106"/>
      <c r="F49" s="107"/>
      <c r="G49" s="106"/>
      <c r="H49" s="112"/>
      <c r="I49" s="112"/>
    </row>
    <row r="50" spans="1:10">
      <c r="A50" s="105" t="s">
        <v>89</v>
      </c>
      <c r="B50" s="106"/>
      <c r="C50" s="106"/>
      <c r="D50" s="106"/>
      <c r="E50" s="106"/>
      <c r="F50" s="107"/>
      <c r="G50" s="106"/>
      <c r="H50" s="112"/>
      <c r="I50" s="112"/>
    </row>
    <row r="51" spans="1:10">
      <c r="A51" s="108" t="s">
        <v>90</v>
      </c>
      <c r="B51" s="106"/>
      <c r="C51" s="106"/>
      <c r="D51" s="106"/>
      <c r="E51" s="106"/>
      <c r="F51" s="107"/>
      <c r="G51" s="106"/>
      <c r="H51" s="112"/>
      <c r="I51" s="112"/>
    </row>
    <row r="52" spans="1:10">
      <c r="A52" s="105" t="s">
        <v>91</v>
      </c>
      <c r="B52" s="106"/>
      <c r="C52" s="106"/>
      <c r="D52" s="106"/>
      <c r="E52" s="106"/>
      <c r="F52" s="107"/>
      <c r="G52" s="106"/>
      <c r="H52" s="112"/>
      <c r="I52" s="112"/>
    </row>
    <row r="53" spans="1:10">
      <c r="A53" s="105" t="s">
        <v>92</v>
      </c>
      <c r="B53" s="106"/>
      <c r="C53" s="106"/>
      <c r="D53" s="106"/>
      <c r="E53" s="106"/>
      <c r="F53" s="107"/>
      <c r="G53" s="106"/>
      <c r="H53" s="112"/>
      <c r="I53" s="112"/>
    </row>
    <row r="54" spans="1:10">
      <c r="A54" s="115" t="s">
        <v>93</v>
      </c>
      <c r="B54" s="116"/>
      <c r="C54" s="116"/>
      <c r="D54" s="116"/>
      <c r="E54" s="116"/>
      <c r="F54" s="117"/>
      <c r="G54" s="116"/>
      <c r="H54" s="112"/>
      <c r="I54" s="112"/>
      <c r="J54" s="167">
        <f>D32/E32</f>
        <v>579.64599999999996</v>
      </c>
    </row>
    <row r="55" spans="1:10" ht="25.5">
      <c r="A55" s="316" t="s">
        <v>2352</v>
      </c>
      <c r="B55" s="317">
        <v>-5950675.7000000002</v>
      </c>
      <c r="C55" s="317">
        <v>-10017.969999999999</v>
      </c>
      <c r="D55" s="317"/>
      <c r="E55" s="318"/>
      <c r="F55" s="317"/>
      <c r="G55" s="319"/>
      <c r="H55" s="317">
        <f>+B55</f>
        <v>-5950675.7000000002</v>
      </c>
      <c r="I55" s="318">
        <f>+C55</f>
        <v>-10017.969999999999</v>
      </c>
    </row>
    <row r="56" spans="1:10">
      <c r="A56" s="316" t="s">
        <v>2149</v>
      </c>
      <c r="B56" s="317">
        <v>-1211363.3</v>
      </c>
      <c r="C56" s="318">
        <v>-2031.83</v>
      </c>
      <c r="D56" s="317">
        <f>GETPIVOTDATA("Somme de Receved in XAF",$K$3,"Donor","Wildcat 2024","Mois",1)</f>
        <v>17885797</v>
      </c>
      <c r="E56" s="318">
        <f>GETPIVOTDATA("Somme de Receved  $",$K$3,"Donor","Wildcat 2024","Mois",1)</f>
        <v>30000</v>
      </c>
      <c r="F56" s="317">
        <f>GETPIVOTDATA("Somme de Spent  in XAF",$K$3,"Donor","Wildcat 2024")</f>
        <v>13654604</v>
      </c>
      <c r="G56" s="319">
        <f>GETPIVOTDATA("Somme de Spent in $",$K$3,"Donor","Wildcat 2024")</f>
        <v>23208.427443302349</v>
      </c>
      <c r="H56" s="317">
        <f>B56+D56-F56</f>
        <v>3019829.6999999993</v>
      </c>
      <c r="I56" s="318">
        <f>C56+E56-G56</f>
        <v>4759.742556697649</v>
      </c>
    </row>
    <row r="57" spans="1:10">
      <c r="A57" s="316" t="s">
        <v>1284</v>
      </c>
      <c r="B57" s="317">
        <v>2107400</v>
      </c>
      <c r="C57" s="318">
        <v>0</v>
      </c>
      <c r="D57" s="317">
        <v>0</v>
      </c>
      <c r="E57" s="318">
        <v>0</v>
      </c>
      <c r="F57" s="317">
        <f>GETPIVOTDATA("Somme de Spent  in XAF",$K$3,"Donor","UE")</f>
        <v>2107400</v>
      </c>
      <c r="G57" s="319">
        <v>0</v>
      </c>
      <c r="H57" s="317">
        <f>B57+D57-F57</f>
        <v>0</v>
      </c>
      <c r="I57" s="318">
        <v>0</v>
      </c>
      <c r="J57" s="167">
        <f>D32/E32</f>
        <v>579.64599999999996</v>
      </c>
    </row>
    <row r="58" spans="1:10">
      <c r="A58" s="316" t="s">
        <v>499</v>
      </c>
      <c r="B58" s="317">
        <v>3069109.09</v>
      </c>
      <c r="C58" s="318">
        <v>5000</v>
      </c>
      <c r="D58" s="317">
        <v>0</v>
      </c>
      <c r="E58" s="318">
        <v>0</v>
      </c>
      <c r="F58" s="317">
        <f>GETPIVOTDATA("Somme de Spent  in XAF",$K$3,"Donor","Rufford","Mois",2)</f>
        <v>3055340</v>
      </c>
      <c r="G58" s="319">
        <f>GETPIVOTDATA("Somme de Spent in $",$K$3,"Donor","Rufford","Mois",2)</f>
        <v>4977.5684082904827</v>
      </c>
      <c r="H58" s="317">
        <f>B58+D58-F58</f>
        <v>13769.089999999851</v>
      </c>
      <c r="I58" s="318">
        <f>C58+E58-G58</f>
        <v>22.431591709517306</v>
      </c>
    </row>
    <row r="59" spans="1:10">
      <c r="A59" s="316" t="s">
        <v>205</v>
      </c>
      <c r="B59" s="317">
        <v>13324442.9</v>
      </c>
      <c r="C59" s="317">
        <v>23002.880000000001</v>
      </c>
      <c r="D59" s="317">
        <f>GETPIVOTDATA("Somme de Receved in XAF",$K$3,"Donor","OAK","Mois",3)</f>
        <v>17389380</v>
      </c>
      <c r="E59" s="318">
        <f>GETPIVOTDATA("Somme de Receved  $",$K$3,"Donor","OAK","Mois",3)</f>
        <v>30000</v>
      </c>
      <c r="F59" s="317">
        <f>GETPIVOTDATA("Somme de Spent  in XAF",$K$3,"Donor","OAK")</f>
        <v>38956819</v>
      </c>
      <c r="G59" s="319">
        <f>GETPIVOTDATA("Somme de Spent in $",$K$3,"Donor","OAK")</f>
        <v>67675.982714933547</v>
      </c>
      <c r="H59" s="317">
        <f>B59+D59-F59</f>
        <v>-8242996.1000000015</v>
      </c>
      <c r="I59" s="318">
        <f>C59+E59-G59</f>
        <v>-14673.102714933542</v>
      </c>
    </row>
    <row r="60" spans="1:10" ht="15" thickBot="1">
      <c r="A60" s="315" t="s">
        <v>94</v>
      </c>
      <c r="B60" s="103">
        <f>B2+B9+B29+B42+B55+B16+B56+B57+B58+B59</f>
        <v>11338912.99</v>
      </c>
      <c r="C60" s="103">
        <f t="shared" ref="C60:I60" si="8">C2+C9+C29+C42+C55+C16+C56+C57+C58+C59</f>
        <v>15953.080000000002</v>
      </c>
      <c r="D60" s="103">
        <f t="shared" si="8"/>
        <v>80404150</v>
      </c>
      <c r="E60" s="103">
        <f t="shared" si="8"/>
        <v>140000</v>
      </c>
      <c r="F60" s="103">
        <f t="shared" si="8"/>
        <v>89507323</v>
      </c>
      <c r="G60" s="103">
        <f>G2+G9+G29+G42+G55+G16+G56+G57+G58+G59</f>
        <v>152211.65417213121</v>
      </c>
      <c r="H60" s="103">
        <f>H2+H9+H29+H42+H55+H16+H56+H57+H58+H59</f>
        <v>2235739.9899999984</v>
      </c>
      <c r="I60" s="103">
        <f t="shared" si="8"/>
        <v>3741.4258278687994</v>
      </c>
    </row>
    <row r="62" spans="1:10">
      <c r="A62" s="161"/>
      <c r="B62" s="161">
        <v>11338913</v>
      </c>
      <c r="C62" s="161"/>
      <c r="D62" s="161"/>
      <c r="F62" t="s">
        <v>95</v>
      </c>
      <c r="H62" s="151">
        <f>Balance!I29</f>
        <v>2235740</v>
      </c>
    </row>
    <row r="63" spans="1:10">
      <c r="A63" s="161"/>
      <c r="B63" s="161">
        <f>B60-B62</f>
        <v>-9.9999997764825821E-3</v>
      </c>
      <c r="C63" s="161"/>
      <c r="D63" s="161"/>
      <c r="F63" t="s">
        <v>51</v>
      </c>
      <c r="H63" s="161">
        <f>H60-H62</f>
        <v>-1.0000001639127731E-2</v>
      </c>
    </row>
    <row r="64" spans="1:10">
      <c r="B64" s="151"/>
    </row>
    <row r="65" spans="2:2">
      <c r="B65" s="164"/>
    </row>
    <row r="66" spans="2:2">
      <c r="B66" s="164"/>
    </row>
  </sheetData>
  <pageMargins left="0.7" right="0.7" top="0.78740157499999996" bottom="0.78740157499999996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17"/>
  <sheetViews>
    <sheetView workbookViewId="0">
      <selection activeCell="G17" sqref="G17"/>
    </sheetView>
  </sheetViews>
  <sheetFormatPr baseColWidth="10" defaultColWidth="8.75" defaultRowHeight="14.25"/>
  <cols>
    <col min="1" max="1" width="15.75" customWidth="1"/>
    <col min="2" max="2" width="44.125" style="71" customWidth="1"/>
    <col min="3" max="4" width="15.75" style="71" customWidth="1"/>
    <col min="5" max="6" width="15.75" customWidth="1"/>
    <col min="7" max="7" width="19.625" bestFit="1" customWidth="1"/>
    <col min="8" max="8" width="19.375" style="71" customWidth="1"/>
  </cols>
  <sheetData>
    <row r="1" spans="1:8">
      <c r="A1" s="76" t="s">
        <v>1697</v>
      </c>
      <c r="B1" s="95" t="s">
        <v>1693</v>
      </c>
      <c r="C1" s="95" t="s">
        <v>1694</v>
      </c>
      <c r="D1" s="95" t="s">
        <v>1696</v>
      </c>
      <c r="E1" s="76" t="s">
        <v>1695</v>
      </c>
    </row>
    <row r="2" spans="1:8">
      <c r="A2" s="228">
        <v>45854</v>
      </c>
      <c r="B2" s="95">
        <v>25000</v>
      </c>
      <c r="C2" s="95"/>
      <c r="D2" s="95">
        <f>B2-C2</f>
        <v>25000</v>
      </c>
      <c r="E2" s="76"/>
      <c r="G2" s="174" t="s">
        <v>522</v>
      </c>
      <c r="H2" t="s">
        <v>2144</v>
      </c>
    </row>
    <row r="3" spans="1:8">
      <c r="A3" s="228">
        <v>45854</v>
      </c>
      <c r="B3" s="95"/>
      <c r="C3" s="95">
        <v>20000</v>
      </c>
      <c r="D3" s="95">
        <f>D2+B3-C3</f>
        <v>5000</v>
      </c>
      <c r="E3" s="76" t="s">
        <v>500</v>
      </c>
      <c r="G3" s="150" t="s">
        <v>193</v>
      </c>
      <c r="H3" s="360">
        <v>5000</v>
      </c>
    </row>
    <row r="4" spans="1:8">
      <c r="A4" s="228">
        <v>45854</v>
      </c>
      <c r="B4" s="95"/>
      <c r="C4" s="95">
        <v>5000</v>
      </c>
      <c r="D4" s="95">
        <f t="shared" ref="D4:D10" si="0">D3+B4-C4</f>
        <v>0</v>
      </c>
      <c r="E4" s="76" t="s">
        <v>643</v>
      </c>
      <c r="G4" s="150" t="s">
        <v>200</v>
      </c>
      <c r="H4" s="360">
        <v>5000</v>
      </c>
    </row>
    <row r="5" spans="1:8">
      <c r="A5" s="228">
        <v>45860</v>
      </c>
      <c r="B5" s="95">
        <v>5000</v>
      </c>
      <c r="C5" s="95"/>
      <c r="D5" s="95">
        <f>B5-C5</f>
        <v>5000</v>
      </c>
      <c r="E5" s="76"/>
      <c r="G5" s="150" t="s">
        <v>500</v>
      </c>
      <c r="H5" s="360">
        <v>20000</v>
      </c>
    </row>
    <row r="6" spans="1:8">
      <c r="A6" s="228">
        <v>45860</v>
      </c>
      <c r="B6" s="95"/>
      <c r="C6" s="95">
        <v>5000</v>
      </c>
      <c r="D6" s="95">
        <f t="shared" si="0"/>
        <v>0</v>
      </c>
      <c r="E6" s="76" t="s">
        <v>200</v>
      </c>
      <c r="G6" s="150" t="s">
        <v>643</v>
      </c>
      <c r="H6" s="360">
        <v>5000</v>
      </c>
    </row>
    <row r="7" spans="1:8">
      <c r="A7" s="228">
        <v>45869</v>
      </c>
      <c r="B7" s="95">
        <v>15000</v>
      </c>
      <c r="C7" s="95"/>
      <c r="D7" s="95">
        <f>B7-C7</f>
        <v>15000</v>
      </c>
      <c r="E7" s="76"/>
      <c r="G7" s="150" t="s">
        <v>196</v>
      </c>
      <c r="H7" s="360">
        <v>5000</v>
      </c>
    </row>
    <row r="8" spans="1:8">
      <c r="A8" s="228">
        <v>45869</v>
      </c>
      <c r="B8" s="95"/>
      <c r="C8" s="95">
        <v>5000</v>
      </c>
      <c r="D8" s="95">
        <f t="shared" si="0"/>
        <v>10000</v>
      </c>
      <c r="E8" s="76" t="s">
        <v>193</v>
      </c>
      <c r="G8" s="150" t="s">
        <v>190</v>
      </c>
      <c r="H8" s="360">
        <v>5000</v>
      </c>
    </row>
    <row r="9" spans="1:8">
      <c r="A9" s="228">
        <v>45869</v>
      </c>
      <c r="B9" s="95"/>
      <c r="C9" s="95">
        <v>5000</v>
      </c>
      <c r="D9" s="95">
        <f t="shared" si="0"/>
        <v>5000</v>
      </c>
      <c r="E9" s="76" t="s">
        <v>190</v>
      </c>
      <c r="G9" s="150" t="s">
        <v>2141</v>
      </c>
      <c r="H9" s="360"/>
    </row>
    <row r="10" spans="1:8">
      <c r="A10" s="228">
        <v>45869</v>
      </c>
      <c r="B10" s="95"/>
      <c r="C10" s="95">
        <v>5000</v>
      </c>
      <c r="D10" s="95">
        <f t="shared" si="0"/>
        <v>0</v>
      </c>
      <c r="E10" s="76" t="s">
        <v>196</v>
      </c>
      <c r="G10" s="150" t="s">
        <v>523</v>
      </c>
      <c r="H10" s="360">
        <v>45000</v>
      </c>
    </row>
    <row r="11" spans="1:8">
      <c r="A11" s="228"/>
      <c r="B11" s="95"/>
      <c r="C11" s="95"/>
      <c r="D11" s="95"/>
      <c r="E11" s="76"/>
      <c r="H11"/>
    </row>
    <row r="12" spans="1:8">
      <c r="A12" s="228"/>
      <c r="B12" s="95"/>
      <c r="C12" s="95"/>
      <c r="D12" s="95"/>
      <c r="E12" s="76"/>
      <c r="H12"/>
    </row>
    <row r="13" spans="1:8">
      <c r="A13" s="228"/>
      <c r="B13" s="95"/>
      <c r="C13" s="95"/>
      <c r="D13" s="95"/>
      <c r="E13" s="76"/>
      <c r="H13"/>
    </row>
    <row r="14" spans="1:8">
      <c r="A14" s="228"/>
      <c r="B14" s="95"/>
      <c r="C14" s="95"/>
      <c r="D14" s="95"/>
      <c r="E14" s="76"/>
      <c r="H14"/>
    </row>
    <row r="15" spans="1:8">
      <c r="A15" s="228"/>
      <c r="B15" s="95"/>
      <c r="C15" s="95"/>
      <c r="D15" s="95"/>
      <c r="E15" s="76"/>
      <c r="H15"/>
    </row>
    <row r="16" spans="1:8">
      <c r="A16" s="228"/>
      <c r="B16" s="95"/>
      <c r="C16" s="95"/>
      <c r="D16" s="95"/>
      <c r="E16" s="76"/>
      <c r="H16"/>
    </row>
    <row r="17" spans="1:8">
      <c r="A17" s="228"/>
      <c r="B17" s="168"/>
      <c r="C17" s="168"/>
      <c r="D17" s="95"/>
      <c r="E17" s="130"/>
      <c r="H17"/>
    </row>
  </sheetData>
  <pageMargins left="0.7" right="0.7" top="0.78740157499999996" bottom="0.78740157499999996" header="0.3" footer="0.3"/>
  <ignoredErrors>
    <ignoredError sqref="D5 D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0"/>
  <sheetViews>
    <sheetView zoomScale="69" zoomScaleNormal="69" workbookViewId="0">
      <pane ySplit="1" topLeftCell="A184" activePane="bottomLeft" state="frozen"/>
      <selection pane="bottomLeft" activeCell="C216" sqref="C216"/>
    </sheetView>
  </sheetViews>
  <sheetFormatPr baseColWidth="10" defaultColWidth="8.75" defaultRowHeight="14.25"/>
  <cols>
    <col min="1" max="1" width="12.75" style="69" customWidth="1"/>
    <col min="2" max="2" width="82" customWidth="1"/>
    <col min="3" max="3" width="20.75" customWidth="1"/>
    <col min="4" max="4" width="12.75" customWidth="1"/>
    <col min="5" max="5" width="12.75" style="71" customWidth="1"/>
    <col min="6" max="6" width="17.75" style="71" customWidth="1"/>
    <col min="7" max="7" width="15.375" customWidth="1"/>
    <col min="8" max="8" width="17" customWidth="1"/>
    <col min="9" max="9" width="22.125" customWidth="1"/>
    <col min="10" max="14" width="12.75" customWidth="1"/>
    <col min="15" max="15" width="28.375" customWidth="1"/>
  </cols>
  <sheetData>
    <row r="1" spans="1:16" ht="30">
      <c r="A1" s="244" t="s">
        <v>0</v>
      </c>
      <c r="B1" s="245" t="s">
        <v>1</v>
      </c>
      <c r="C1" s="245" t="s">
        <v>2</v>
      </c>
      <c r="D1" s="245" t="s">
        <v>3</v>
      </c>
      <c r="E1" s="76" t="s">
        <v>150</v>
      </c>
      <c r="F1" s="247" t="s">
        <v>4</v>
      </c>
      <c r="G1" s="248" t="s">
        <v>5</v>
      </c>
      <c r="H1" s="249" t="s">
        <v>10</v>
      </c>
      <c r="I1" s="249" t="s">
        <v>6</v>
      </c>
      <c r="J1" s="249" t="s">
        <v>7</v>
      </c>
      <c r="K1" s="250" t="s">
        <v>8</v>
      </c>
      <c r="L1" s="249" t="s">
        <v>9</v>
      </c>
      <c r="M1" s="246" t="s">
        <v>533</v>
      </c>
      <c r="N1" s="247" t="s">
        <v>534</v>
      </c>
      <c r="O1" s="249" t="s">
        <v>71</v>
      </c>
    </row>
    <row r="2" spans="1:16" ht="16.5">
      <c r="A2" s="481">
        <v>45839</v>
      </c>
      <c r="B2" s="321" t="s">
        <v>2355</v>
      </c>
      <c r="C2" s="322" t="s">
        <v>175</v>
      </c>
      <c r="D2" s="323" t="s">
        <v>119</v>
      </c>
      <c r="E2" s="324">
        <v>1000</v>
      </c>
      <c r="F2" s="358">
        <f t="shared" ref="F2:F48" si="0">E2/G2</f>
        <v>1.7827139780891614</v>
      </c>
      <c r="G2" s="359">
        <v>560.94248000000005</v>
      </c>
      <c r="H2" s="325" t="s">
        <v>153</v>
      </c>
      <c r="I2" s="326" t="s">
        <v>2373</v>
      </c>
      <c r="J2" s="130" t="s">
        <v>98</v>
      </c>
      <c r="K2" s="130" t="s">
        <v>2150</v>
      </c>
      <c r="L2" s="148" t="s">
        <v>155</v>
      </c>
      <c r="M2" s="130"/>
      <c r="N2" s="130"/>
      <c r="O2" s="130"/>
      <c r="P2" s="353"/>
    </row>
    <row r="3" spans="1:16" ht="16.5">
      <c r="A3" s="481">
        <v>45839</v>
      </c>
      <c r="B3" s="321" t="s">
        <v>2356</v>
      </c>
      <c r="C3" s="322" t="s">
        <v>175</v>
      </c>
      <c r="D3" s="323" t="s">
        <v>119</v>
      </c>
      <c r="E3" s="324">
        <v>1000</v>
      </c>
      <c r="F3" s="358">
        <f t="shared" si="0"/>
        <v>1.7827139780891614</v>
      </c>
      <c r="G3" s="359">
        <v>560.94248000000005</v>
      </c>
      <c r="H3" s="325" t="s">
        <v>153</v>
      </c>
      <c r="I3" s="326" t="s">
        <v>2373</v>
      </c>
      <c r="J3" s="130" t="s">
        <v>98</v>
      </c>
      <c r="K3" s="130" t="s">
        <v>2150</v>
      </c>
      <c r="L3" s="148" t="s">
        <v>155</v>
      </c>
      <c r="M3" s="130"/>
      <c r="N3" s="130"/>
      <c r="O3" s="130"/>
      <c r="P3" s="353"/>
    </row>
    <row r="4" spans="1:16" ht="16.5">
      <c r="A4" s="481">
        <v>45840</v>
      </c>
      <c r="B4" s="321" t="s">
        <v>2355</v>
      </c>
      <c r="C4" s="322" t="s">
        <v>175</v>
      </c>
      <c r="D4" s="323" t="s">
        <v>119</v>
      </c>
      <c r="E4" s="324">
        <v>1000</v>
      </c>
      <c r="F4" s="358">
        <f t="shared" si="0"/>
        <v>1.7827139780891614</v>
      </c>
      <c r="G4" s="359">
        <v>560.94248000000005</v>
      </c>
      <c r="H4" s="325" t="s">
        <v>153</v>
      </c>
      <c r="I4" s="326" t="s">
        <v>2373</v>
      </c>
      <c r="J4" s="130" t="s">
        <v>98</v>
      </c>
      <c r="K4" s="130" t="s">
        <v>2150</v>
      </c>
      <c r="L4" s="148" t="s">
        <v>155</v>
      </c>
      <c r="M4" s="130"/>
      <c r="N4" s="130"/>
      <c r="O4" s="130"/>
      <c r="P4" s="353"/>
    </row>
    <row r="5" spans="1:16" ht="16.5">
      <c r="A5" s="481">
        <v>45840</v>
      </c>
      <c r="B5" s="321" t="s">
        <v>2356</v>
      </c>
      <c r="C5" s="322" t="s">
        <v>175</v>
      </c>
      <c r="D5" s="323" t="s">
        <v>119</v>
      </c>
      <c r="E5" s="324">
        <v>1000</v>
      </c>
      <c r="F5" s="358">
        <f t="shared" si="0"/>
        <v>1.7827139780891614</v>
      </c>
      <c r="G5" s="359">
        <v>560.94248000000005</v>
      </c>
      <c r="H5" s="325" t="s">
        <v>153</v>
      </c>
      <c r="I5" s="326" t="s">
        <v>2373</v>
      </c>
      <c r="J5" s="130" t="s">
        <v>98</v>
      </c>
      <c r="K5" s="130" t="s">
        <v>2150</v>
      </c>
      <c r="L5" s="148" t="s">
        <v>155</v>
      </c>
      <c r="M5" s="130"/>
      <c r="N5" s="130"/>
      <c r="O5" s="130"/>
      <c r="P5" s="353"/>
    </row>
    <row r="6" spans="1:16" ht="16.5">
      <c r="A6" s="481">
        <v>45840</v>
      </c>
      <c r="B6" s="482" t="s">
        <v>2389</v>
      </c>
      <c r="C6" s="482" t="s">
        <v>175</v>
      </c>
      <c r="D6" s="482" t="s">
        <v>118</v>
      </c>
      <c r="E6" s="379">
        <v>1000</v>
      </c>
      <c r="F6" s="358">
        <f t="shared" si="0"/>
        <v>1.7827139780891614</v>
      </c>
      <c r="G6" s="359">
        <v>560.94248000000005</v>
      </c>
      <c r="H6" s="482" t="s">
        <v>643</v>
      </c>
      <c r="I6" s="130" t="s">
        <v>2434</v>
      </c>
      <c r="J6" s="130" t="s">
        <v>98</v>
      </c>
      <c r="K6" s="130" t="s">
        <v>2150</v>
      </c>
      <c r="L6" s="148" t="s">
        <v>155</v>
      </c>
      <c r="M6" s="130"/>
      <c r="N6" s="130"/>
      <c r="O6" s="130"/>
      <c r="P6" s="353"/>
    </row>
    <row r="7" spans="1:16" ht="16.5">
      <c r="A7" s="481">
        <v>45840</v>
      </c>
      <c r="B7" s="482" t="s">
        <v>2390</v>
      </c>
      <c r="C7" s="482" t="s">
        <v>175</v>
      </c>
      <c r="D7" s="482" t="s">
        <v>118</v>
      </c>
      <c r="E7" s="379">
        <v>1000</v>
      </c>
      <c r="F7" s="358">
        <f t="shared" si="0"/>
        <v>1.7827139780891614</v>
      </c>
      <c r="G7" s="359">
        <v>560.94248000000005</v>
      </c>
      <c r="H7" s="482" t="s">
        <v>643</v>
      </c>
      <c r="I7" s="130" t="s">
        <v>2434</v>
      </c>
      <c r="J7" s="130" t="s">
        <v>98</v>
      </c>
      <c r="K7" s="130" t="s">
        <v>2150</v>
      </c>
      <c r="L7" s="148" t="s">
        <v>155</v>
      </c>
      <c r="M7" s="130"/>
      <c r="N7" s="130"/>
      <c r="O7" s="130"/>
      <c r="P7" s="353"/>
    </row>
    <row r="8" spans="1:16" ht="16.5">
      <c r="A8" s="481">
        <v>45840</v>
      </c>
      <c r="B8" s="482" t="s">
        <v>2391</v>
      </c>
      <c r="C8" s="482" t="s">
        <v>317</v>
      </c>
      <c r="D8" s="482" t="s">
        <v>118</v>
      </c>
      <c r="E8" s="379">
        <v>20000</v>
      </c>
      <c r="F8" s="358">
        <f t="shared" si="0"/>
        <v>35.654279561783227</v>
      </c>
      <c r="G8" s="359">
        <v>560.94248000000005</v>
      </c>
      <c r="H8" s="266" t="s">
        <v>643</v>
      </c>
      <c r="I8" s="132" t="s">
        <v>2435</v>
      </c>
      <c r="J8" s="130" t="s">
        <v>98</v>
      </c>
      <c r="K8" s="130" t="s">
        <v>2150</v>
      </c>
      <c r="L8" s="148" t="s">
        <v>155</v>
      </c>
      <c r="M8" s="148"/>
      <c r="N8" s="148"/>
      <c r="O8" s="130"/>
      <c r="P8" s="353"/>
    </row>
    <row r="9" spans="1:16" ht="16.5">
      <c r="A9" s="481">
        <v>45841</v>
      </c>
      <c r="B9" s="321" t="s">
        <v>2355</v>
      </c>
      <c r="C9" s="322" t="s">
        <v>175</v>
      </c>
      <c r="D9" s="323" t="s">
        <v>119</v>
      </c>
      <c r="E9" s="324">
        <v>1000</v>
      </c>
      <c r="F9" s="358">
        <f t="shared" si="0"/>
        <v>1.7827139780891614</v>
      </c>
      <c r="G9" s="359">
        <v>560.94248000000005</v>
      </c>
      <c r="H9" s="325" t="s">
        <v>153</v>
      </c>
      <c r="I9" s="326" t="s">
        <v>2373</v>
      </c>
      <c r="J9" s="130" t="s">
        <v>98</v>
      </c>
      <c r="K9" s="130" t="s">
        <v>2150</v>
      </c>
      <c r="L9" s="148" t="s">
        <v>155</v>
      </c>
      <c r="M9" s="130"/>
      <c r="N9" s="130"/>
      <c r="O9" s="130"/>
      <c r="P9" s="353"/>
    </row>
    <row r="10" spans="1:16" ht="16.5">
      <c r="A10" s="481">
        <v>45841</v>
      </c>
      <c r="B10" s="321" t="s">
        <v>2356</v>
      </c>
      <c r="C10" s="322" t="s">
        <v>175</v>
      </c>
      <c r="D10" s="323" t="s">
        <v>119</v>
      </c>
      <c r="E10" s="324">
        <v>1000</v>
      </c>
      <c r="F10" s="358">
        <f t="shared" si="0"/>
        <v>1.7827139780891614</v>
      </c>
      <c r="G10" s="359">
        <v>560.94248000000005</v>
      </c>
      <c r="H10" s="325" t="s">
        <v>153</v>
      </c>
      <c r="I10" s="326" t="s">
        <v>2373</v>
      </c>
      <c r="J10" s="130" t="s">
        <v>98</v>
      </c>
      <c r="K10" s="130" t="s">
        <v>2150</v>
      </c>
      <c r="L10" s="148" t="s">
        <v>155</v>
      </c>
      <c r="M10" s="130"/>
      <c r="N10" s="130"/>
      <c r="O10" s="130"/>
      <c r="P10" s="353"/>
    </row>
    <row r="11" spans="1:16" ht="16.5">
      <c r="A11" s="481">
        <v>45841</v>
      </c>
      <c r="B11" s="482" t="s">
        <v>2392</v>
      </c>
      <c r="C11" s="482" t="s">
        <v>175</v>
      </c>
      <c r="D11" s="482" t="s">
        <v>118</v>
      </c>
      <c r="E11" s="379">
        <v>1000</v>
      </c>
      <c r="F11" s="358">
        <f t="shared" si="0"/>
        <v>1.7827139780891614</v>
      </c>
      <c r="G11" s="359">
        <v>560.94248000000005</v>
      </c>
      <c r="H11" s="482" t="s">
        <v>643</v>
      </c>
      <c r="I11" s="130" t="s">
        <v>2434</v>
      </c>
      <c r="J11" s="130" t="s">
        <v>98</v>
      </c>
      <c r="K11" s="130" t="s">
        <v>2150</v>
      </c>
      <c r="L11" s="148" t="s">
        <v>155</v>
      </c>
      <c r="M11" s="130"/>
      <c r="N11" s="130"/>
      <c r="O11" s="130"/>
      <c r="P11" s="353"/>
    </row>
    <row r="12" spans="1:16" ht="16.5">
      <c r="A12" s="481">
        <v>45841</v>
      </c>
      <c r="B12" s="482" t="s">
        <v>2393</v>
      </c>
      <c r="C12" s="482" t="s">
        <v>175</v>
      </c>
      <c r="D12" s="482" t="s">
        <v>118</v>
      </c>
      <c r="E12" s="379">
        <v>1000</v>
      </c>
      <c r="F12" s="358">
        <f t="shared" si="0"/>
        <v>1.7827139780891614</v>
      </c>
      <c r="G12" s="359">
        <v>560.94248000000005</v>
      </c>
      <c r="H12" s="482" t="s">
        <v>643</v>
      </c>
      <c r="I12" s="130" t="s">
        <v>2434</v>
      </c>
      <c r="J12" s="130" t="s">
        <v>98</v>
      </c>
      <c r="K12" s="130" t="s">
        <v>2150</v>
      </c>
      <c r="L12" s="148" t="s">
        <v>155</v>
      </c>
      <c r="M12" s="130"/>
      <c r="N12" s="130"/>
      <c r="O12" s="130"/>
      <c r="P12" s="353"/>
    </row>
    <row r="13" spans="1:16" ht="16.5">
      <c r="A13" s="481">
        <v>45841</v>
      </c>
      <c r="B13" s="185" t="s">
        <v>2468</v>
      </c>
      <c r="C13" s="185" t="s">
        <v>175</v>
      </c>
      <c r="D13" s="185" t="s">
        <v>117</v>
      </c>
      <c r="E13" s="379">
        <v>1000</v>
      </c>
      <c r="F13" s="358">
        <f t="shared" si="0"/>
        <v>1.7827139780891614</v>
      </c>
      <c r="G13" s="359">
        <v>560.94248000000005</v>
      </c>
      <c r="H13" s="185" t="s">
        <v>196</v>
      </c>
      <c r="I13" s="185" t="s">
        <v>2480</v>
      </c>
      <c r="J13" s="130" t="s">
        <v>98</v>
      </c>
      <c r="K13" s="130" t="s">
        <v>2150</v>
      </c>
      <c r="L13" s="148" t="s">
        <v>155</v>
      </c>
      <c r="M13" s="130"/>
      <c r="N13" s="130"/>
      <c r="O13" s="130"/>
      <c r="P13" s="353"/>
    </row>
    <row r="14" spans="1:16" ht="16.5">
      <c r="A14" s="481">
        <v>45841</v>
      </c>
      <c r="B14" s="185" t="s">
        <v>2469</v>
      </c>
      <c r="C14" s="185" t="s">
        <v>175</v>
      </c>
      <c r="D14" s="185" t="s">
        <v>117</v>
      </c>
      <c r="E14" s="379">
        <v>1000</v>
      </c>
      <c r="F14" s="358">
        <f t="shared" si="0"/>
        <v>1.7827139780891614</v>
      </c>
      <c r="G14" s="359">
        <v>560.94248000000005</v>
      </c>
      <c r="H14" s="185" t="s">
        <v>196</v>
      </c>
      <c r="I14" s="185" t="s">
        <v>2480</v>
      </c>
      <c r="J14" s="130" t="s">
        <v>98</v>
      </c>
      <c r="K14" s="130" t="s">
        <v>2150</v>
      </c>
      <c r="L14" s="148" t="s">
        <v>155</v>
      </c>
      <c r="M14" s="130"/>
      <c r="N14" s="130"/>
      <c r="O14" s="130"/>
      <c r="P14" s="353"/>
    </row>
    <row r="15" spans="1:16" ht="16.5">
      <c r="A15" s="481">
        <v>45841</v>
      </c>
      <c r="B15" s="185" t="s">
        <v>2470</v>
      </c>
      <c r="C15" s="185" t="s">
        <v>175</v>
      </c>
      <c r="D15" s="185" t="s">
        <v>117</v>
      </c>
      <c r="E15" s="379">
        <v>1000</v>
      </c>
      <c r="F15" s="358">
        <f t="shared" si="0"/>
        <v>1.7827139780891614</v>
      </c>
      <c r="G15" s="359">
        <v>560.94248000000005</v>
      </c>
      <c r="H15" s="185" t="s">
        <v>196</v>
      </c>
      <c r="I15" s="185" t="s">
        <v>2480</v>
      </c>
      <c r="J15" s="130" t="s">
        <v>98</v>
      </c>
      <c r="K15" s="130" t="s">
        <v>2150</v>
      </c>
      <c r="L15" s="148" t="s">
        <v>155</v>
      </c>
      <c r="M15" s="130"/>
      <c r="N15" s="130"/>
      <c r="O15" s="130"/>
      <c r="P15" s="353"/>
    </row>
    <row r="16" spans="1:16" ht="16.5">
      <c r="A16" s="481">
        <v>45841</v>
      </c>
      <c r="B16" s="185" t="s">
        <v>2471</v>
      </c>
      <c r="C16" s="185" t="s">
        <v>175</v>
      </c>
      <c r="D16" s="185" t="s">
        <v>117</v>
      </c>
      <c r="E16" s="379">
        <v>1000</v>
      </c>
      <c r="F16" s="358">
        <f t="shared" si="0"/>
        <v>1.7827139780891614</v>
      </c>
      <c r="G16" s="359">
        <v>560.94248000000005</v>
      </c>
      <c r="H16" s="185" t="s">
        <v>196</v>
      </c>
      <c r="I16" s="185" t="s">
        <v>2480</v>
      </c>
      <c r="J16" s="130" t="s">
        <v>98</v>
      </c>
      <c r="K16" s="130" t="s">
        <v>2150</v>
      </c>
      <c r="L16" s="148" t="s">
        <v>155</v>
      </c>
      <c r="M16" s="130"/>
      <c r="N16" s="130"/>
      <c r="O16" s="130"/>
      <c r="P16" s="353"/>
    </row>
    <row r="17" spans="1:16" ht="16.5">
      <c r="A17" s="481">
        <v>45841</v>
      </c>
      <c r="B17" s="183" t="s">
        <v>2539</v>
      </c>
      <c r="C17" s="183" t="s">
        <v>123</v>
      </c>
      <c r="D17" s="183" t="s">
        <v>117</v>
      </c>
      <c r="E17" s="478">
        <v>300000</v>
      </c>
      <c r="F17" s="358">
        <f t="shared" si="0"/>
        <v>534.81419342674849</v>
      </c>
      <c r="G17" s="359">
        <v>560.94248000000005</v>
      </c>
      <c r="H17" s="482" t="s">
        <v>148</v>
      </c>
      <c r="I17" s="130" t="s">
        <v>2540</v>
      </c>
      <c r="J17" s="130" t="s">
        <v>98</v>
      </c>
      <c r="K17" s="130" t="s">
        <v>2150</v>
      </c>
      <c r="L17" s="148" t="s">
        <v>155</v>
      </c>
      <c r="M17" s="130"/>
      <c r="N17" s="130"/>
      <c r="O17" s="130"/>
      <c r="P17" s="353"/>
    </row>
    <row r="18" spans="1:16" ht="16.5">
      <c r="A18" s="481">
        <v>45841</v>
      </c>
      <c r="B18" s="404" t="s">
        <v>2541</v>
      </c>
      <c r="C18" s="183" t="s">
        <v>123</v>
      </c>
      <c r="D18" s="183" t="s">
        <v>117</v>
      </c>
      <c r="E18" s="478">
        <v>300000</v>
      </c>
      <c r="F18" s="358">
        <f t="shared" si="0"/>
        <v>534.81419342674849</v>
      </c>
      <c r="G18" s="359">
        <v>560.94248000000005</v>
      </c>
      <c r="H18" s="482" t="s">
        <v>148</v>
      </c>
      <c r="I18" s="130" t="s">
        <v>2542</v>
      </c>
      <c r="J18" s="130" t="s">
        <v>98</v>
      </c>
      <c r="K18" s="130" t="s">
        <v>2150</v>
      </c>
      <c r="L18" s="148" t="s">
        <v>155</v>
      </c>
      <c r="M18" s="130"/>
      <c r="N18" s="130"/>
      <c r="O18" s="130"/>
      <c r="P18" s="353"/>
    </row>
    <row r="19" spans="1:16" ht="16.5">
      <c r="A19" s="481">
        <v>45841</v>
      </c>
      <c r="B19" s="183" t="s">
        <v>2543</v>
      </c>
      <c r="C19" s="183" t="s">
        <v>317</v>
      </c>
      <c r="D19" s="483" t="s">
        <v>118</v>
      </c>
      <c r="E19" s="478">
        <v>260000</v>
      </c>
      <c r="F19" s="358">
        <f t="shared" si="0"/>
        <v>463.50563430318198</v>
      </c>
      <c r="G19" s="359">
        <v>560.94248000000005</v>
      </c>
      <c r="H19" s="482" t="s">
        <v>148</v>
      </c>
      <c r="I19" s="130" t="s">
        <v>2544</v>
      </c>
      <c r="J19" s="130" t="s">
        <v>98</v>
      </c>
      <c r="K19" s="130" t="s">
        <v>2150</v>
      </c>
      <c r="L19" s="148" t="s">
        <v>155</v>
      </c>
      <c r="M19" s="130"/>
      <c r="N19" s="130"/>
      <c r="O19" s="130"/>
      <c r="P19" s="353"/>
    </row>
    <row r="20" spans="1:16" ht="16.5">
      <c r="A20" s="481">
        <v>45842</v>
      </c>
      <c r="B20" s="321" t="s">
        <v>2355</v>
      </c>
      <c r="C20" s="322" t="s">
        <v>175</v>
      </c>
      <c r="D20" s="323" t="s">
        <v>119</v>
      </c>
      <c r="E20" s="324">
        <v>1000</v>
      </c>
      <c r="F20" s="358">
        <f t="shared" si="0"/>
        <v>1.7827139780891614</v>
      </c>
      <c r="G20" s="359">
        <v>560.94248000000005</v>
      </c>
      <c r="H20" s="325" t="s">
        <v>153</v>
      </c>
      <c r="I20" s="326" t="s">
        <v>2373</v>
      </c>
      <c r="J20" s="130" t="s">
        <v>98</v>
      </c>
      <c r="K20" s="130" t="s">
        <v>2150</v>
      </c>
      <c r="L20" s="148" t="s">
        <v>155</v>
      </c>
      <c r="M20" s="130"/>
      <c r="N20" s="130"/>
      <c r="O20" s="130"/>
      <c r="P20" s="353"/>
    </row>
    <row r="21" spans="1:16" ht="16.5">
      <c r="A21" s="481">
        <v>45842</v>
      </c>
      <c r="B21" s="321" t="s">
        <v>2356</v>
      </c>
      <c r="C21" s="322" t="s">
        <v>175</v>
      </c>
      <c r="D21" s="323" t="s">
        <v>119</v>
      </c>
      <c r="E21" s="324">
        <v>1000</v>
      </c>
      <c r="F21" s="358">
        <f t="shared" si="0"/>
        <v>1.7827139780891614</v>
      </c>
      <c r="G21" s="359">
        <v>560.94248000000005</v>
      </c>
      <c r="H21" s="325" t="s">
        <v>153</v>
      </c>
      <c r="I21" s="326" t="s">
        <v>2373</v>
      </c>
      <c r="J21" s="130" t="s">
        <v>98</v>
      </c>
      <c r="K21" s="130" t="s">
        <v>2150</v>
      </c>
      <c r="L21" s="148" t="s">
        <v>155</v>
      </c>
      <c r="M21" s="130"/>
      <c r="N21" s="130"/>
      <c r="O21" s="130"/>
      <c r="P21" s="353"/>
    </row>
    <row r="22" spans="1:16" ht="16.5">
      <c r="A22" s="481">
        <v>45843</v>
      </c>
      <c r="B22" s="321" t="s">
        <v>2355</v>
      </c>
      <c r="C22" s="322" t="s">
        <v>175</v>
      </c>
      <c r="D22" s="323" t="s">
        <v>119</v>
      </c>
      <c r="E22" s="324">
        <v>1000</v>
      </c>
      <c r="F22" s="358">
        <f t="shared" si="0"/>
        <v>1.7827139780891614</v>
      </c>
      <c r="G22" s="359">
        <v>560.94248000000005</v>
      </c>
      <c r="H22" s="325" t="s">
        <v>153</v>
      </c>
      <c r="I22" s="326" t="s">
        <v>2373</v>
      </c>
      <c r="J22" s="130" t="s">
        <v>98</v>
      </c>
      <c r="K22" s="130" t="s">
        <v>2150</v>
      </c>
      <c r="L22" s="148" t="s">
        <v>155</v>
      </c>
      <c r="M22" s="130"/>
      <c r="N22" s="130"/>
      <c r="O22" s="130"/>
      <c r="P22" s="353"/>
    </row>
    <row r="23" spans="1:16" ht="16.5">
      <c r="A23" s="481">
        <v>45843</v>
      </c>
      <c r="B23" s="321" t="s">
        <v>2356</v>
      </c>
      <c r="C23" s="322" t="s">
        <v>175</v>
      </c>
      <c r="D23" s="323" t="s">
        <v>119</v>
      </c>
      <c r="E23" s="324">
        <v>1000</v>
      </c>
      <c r="F23" s="358">
        <f t="shared" si="0"/>
        <v>1.7827139780891614</v>
      </c>
      <c r="G23" s="359">
        <v>560.94248000000005</v>
      </c>
      <c r="H23" s="325" t="s">
        <v>153</v>
      </c>
      <c r="I23" s="326" t="s">
        <v>2373</v>
      </c>
      <c r="J23" s="130" t="s">
        <v>98</v>
      </c>
      <c r="K23" s="130" t="s">
        <v>2150</v>
      </c>
      <c r="L23" s="148" t="s">
        <v>155</v>
      </c>
      <c r="M23" s="130"/>
      <c r="N23" s="130"/>
      <c r="O23" s="130"/>
      <c r="P23" s="353"/>
    </row>
    <row r="24" spans="1:16" ht="16.5">
      <c r="A24" s="481">
        <v>45844</v>
      </c>
      <c r="B24" s="321" t="s">
        <v>2355</v>
      </c>
      <c r="C24" s="322" t="s">
        <v>175</v>
      </c>
      <c r="D24" s="323" t="s">
        <v>119</v>
      </c>
      <c r="E24" s="324">
        <v>1000</v>
      </c>
      <c r="F24" s="358">
        <f t="shared" si="0"/>
        <v>1.7827139780891614</v>
      </c>
      <c r="G24" s="359">
        <v>560.94248000000005</v>
      </c>
      <c r="H24" s="325" t="s">
        <v>153</v>
      </c>
      <c r="I24" s="326" t="s">
        <v>2373</v>
      </c>
      <c r="J24" s="130" t="s">
        <v>98</v>
      </c>
      <c r="K24" s="130" t="s">
        <v>2150</v>
      </c>
      <c r="L24" s="148" t="s">
        <v>155</v>
      </c>
      <c r="M24" s="130"/>
      <c r="N24" s="130"/>
      <c r="O24" s="130"/>
      <c r="P24" s="353"/>
    </row>
    <row r="25" spans="1:16" ht="16.5">
      <c r="A25" s="481">
        <v>45844</v>
      </c>
      <c r="B25" s="321" t="s">
        <v>2356</v>
      </c>
      <c r="C25" s="322" t="s">
        <v>175</v>
      </c>
      <c r="D25" s="323" t="s">
        <v>119</v>
      </c>
      <c r="E25" s="324">
        <v>1000</v>
      </c>
      <c r="F25" s="358">
        <f t="shared" si="0"/>
        <v>1.7827139780891614</v>
      </c>
      <c r="G25" s="359">
        <v>560.94248000000005</v>
      </c>
      <c r="H25" s="325" t="s">
        <v>153</v>
      </c>
      <c r="I25" s="326" t="s">
        <v>2373</v>
      </c>
      <c r="J25" s="130" t="s">
        <v>98</v>
      </c>
      <c r="K25" s="130" t="s">
        <v>2150</v>
      </c>
      <c r="L25" s="148" t="s">
        <v>155</v>
      </c>
      <c r="M25" s="130"/>
      <c r="N25" s="130"/>
      <c r="O25" s="130"/>
      <c r="P25" s="353"/>
    </row>
    <row r="26" spans="1:16" ht="16.5">
      <c r="A26" s="481">
        <v>45845</v>
      </c>
      <c r="B26" s="321" t="s">
        <v>2355</v>
      </c>
      <c r="C26" s="322" t="s">
        <v>175</v>
      </c>
      <c r="D26" s="323" t="s">
        <v>119</v>
      </c>
      <c r="E26" s="324">
        <v>1000</v>
      </c>
      <c r="F26" s="358">
        <f t="shared" si="0"/>
        <v>1.7827139780891614</v>
      </c>
      <c r="G26" s="359">
        <v>560.94248000000005</v>
      </c>
      <c r="H26" s="325" t="s">
        <v>153</v>
      </c>
      <c r="I26" s="326" t="s">
        <v>2373</v>
      </c>
      <c r="J26" s="130" t="s">
        <v>98</v>
      </c>
      <c r="K26" s="130" t="s">
        <v>2150</v>
      </c>
      <c r="L26" s="148" t="s">
        <v>155</v>
      </c>
      <c r="M26" s="130"/>
      <c r="N26" s="130"/>
      <c r="O26" s="130"/>
      <c r="P26" s="353"/>
    </row>
    <row r="27" spans="1:16" ht="16.5">
      <c r="A27" s="481">
        <v>45845</v>
      </c>
      <c r="B27" s="321" t="s">
        <v>2356</v>
      </c>
      <c r="C27" s="322" t="s">
        <v>175</v>
      </c>
      <c r="D27" s="323" t="s">
        <v>119</v>
      </c>
      <c r="E27" s="324">
        <v>1000</v>
      </c>
      <c r="F27" s="358">
        <f t="shared" si="0"/>
        <v>1.7827139780891614</v>
      </c>
      <c r="G27" s="359">
        <v>560.94248000000005</v>
      </c>
      <c r="H27" s="325" t="s">
        <v>153</v>
      </c>
      <c r="I27" s="326" t="s">
        <v>2373</v>
      </c>
      <c r="J27" s="130" t="s">
        <v>98</v>
      </c>
      <c r="K27" s="130" t="s">
        <v>2150</v>
      </c>
      <c r="L27" s="148" t="s">
        <v>155</v>
      </c>
      <c r="M27" s="130"/>
      <c r="N27" s="130"/>
      <c r="O27" s="130"/>
      <c r="P27" s="353"/>
    </row>
    <row r="28" spans="1:16" ht="16.5">
      <c r="A28" s="481">
        <v>45846</v>
      </c>
      <c r="B28" s="321" t="s">
        <v>2357</v>
      </c>
      <c r="C28" s="322" t="s">
        <v>127</v>
      </c>
      <c r="D28" s="323" t="s">
        <v>119</v>
      </c>
      <c r="E28" s="321">
        <v>174625</v>
      </c>
      <c r="F28" s="358">
        <f t="shared" si="0"/>
        <v>311.30642842381985</v>
      </c>
      <c r="G28" s="359">
        <v>560.94248000000005</v>
      </c>
      <c r="H28" s="325" t="s">
        <v>153</v>
      </c>
      <c r="I28" s="321" t="s">
        <v>2374</v>
      </c>
      <c r="J28" s="130" t="s">
        <v>98</v>
      </c>
      <c r="K28" s="130" t="s">
        <v>2150</v>
      </c>
      <c r="L28" s="148" t="s">
        <v>155</v>
      </c>
      <c r="M28" s="130"/>
      <c r="N28" s="130"/>
      <c r="O28" s="130"/>
      <c r="P28" s="353"/>
    </row>
    <row r="29" spans="1:16" ht="16.5">
      <c r="A29" s="481">
        <v>45846</v>
      </c>
      <c r="B29" s="321" t="s">
        <v>2358</v>
      </c>
      <c r="C29" s="322" t="s">
        <v>175</v>
      </c>
      <c r="D29" s="323" t="s">
        <v>119</v>
      </c>
      <c r="E29" s="321">
        <v>1000</v>
      </c>
      <c r="F29" s="358">
        <f t="shared" si="0"/>
        <v>1.7827139780891614</v>
      </c>
      <c r="G29" s="359">
        <v>560.94248000000005</v>
      </c>
      <c r="H29" s="325" t="s">
        <v>153</v>
      </c>
      <c r="I29" s="326" t="s">
        <v>2373</v>
      </c>
      <c r="J29" s="130" t="s">
        <v>98</v>
      </c>
      <c r="K29" s="130" t="s">
        <v>2150</v>
      </c>
      <c r="L29" s="148" t="s">
        <v>155</v>
      </c>
      <c r="M29" s="130"/>
      <c r="N29" s="130"/>
      <c r="O29" s="130"/>
      <c r="P29" s="353"/>
    </row>
    <row r="30" spans="1:16" ht="16.5">
      <c r="A30" s="481">
        <v>45846</v>
      </c>
      <c r="B30" s="321" t="s">
        <v>2356</v>
      </c>
      <c r="C30" s="322" t="s">
        <v>175</v>
      </c>
      <c r="D30" s="323" t="s">
        <v>119</v>
      </c>
      <c r="E30" s="321">
        <v>1000</v>
      </c>
      <c r="F30" s="358">
        <f t="shared" si="0"/>
        <v>1.7827139780891614</v>
      </c>
      <c r="G30" s="359">
        <v>560.94248000000005</v>
      </c>
      <c r="H30" s="325" t="s">
        <v>153</v>
      </c>
      <c r="I30" s="326" t="s">
        <v>2373</v>
      </c>
      <c r="J30" s="130" t="s">
        <v>98</v>
      </c>
      <c r="K30" s="130" t="s">
        <v>2150</v>
      </c>
      <c r="L30" s="148" t="s">
        <v>155</v>
      </c>
      <c r="M30" s="130"/>
      <c r="N30" s="130"/>
      <c r="O30" s="130"/>
      <c r="P30" s="353"/>
    </row>
    <row r="31" spans="1:16" ht="16.5">
      <c r="A31" s="481">
        <v>45846</v>
      </c>
      <c r="B31" s="185" t="s">
        <v>2472</v>
      </c>
      <c r="C31" s="185" t="s">
        <v>172</v>
      </c>
      <c r="D31" s="482" t="s">
        <v>118</v>
      </c>
      <c r="E31" s="379">
        <v>2000</v>
      </c>
      <c r="F31" s="358">
        <f t="shared" si="0"/>
        <v>3.5654279561783229</v>
      </c>
      <c r="G31" s="359">
        <v>560.94248000000005</v>
      </c>
      <c r="H31" s="266" t="s">
        <v>196</v>
      </c>
      <c r="I31" s="266" t="s">
        <v>2481</v>
      </c>
      <c r="J31" s="130" t="s">
        <v>98</v>
      </c>
      <c r="K31" s="130" t="s">
        <v>2150</v>
      </c>
      <c r="L31" s="148" t="s">
        <v>155</v>
      </c>
      <c r="M31" s="130"/>
      <c r="N31" s="130"/>
      <c r="O31" s="130"/>
      <c r="P31" s="353"/>
    </row>
    <row r="32" spans="1:16" ht="16.5">
      <c r="A32" s="481">
        <v>45847</v>
      </c>
      <c r="B32" s="321" t="s">
        <v>2359</v>
      </c>
      <c r="C32" s="322" t="s">
        <v>175</v>
      </c>
      <c r="D32" s="323" t="s">
        <v>119</v>
      </c>
      <c r="E32" s="321">
        <v>1000</v>
      </c>
      <c r="F32" s="358">
        <f t="shared" si="0"/>
        <v>1.7827139780891614</v>
      </c>
      <c r="G32" s="359">
        <v>560.94248000000005</v>
      </c>
      <c r="H32" s="325" t="s">
        <v>153</v>
      </c>
      <c r="I32" s="326" t="s">
        <v>2373</v>
      </c>
      <c r="J32" s="130" t="s">
        <v>98</v>
      </c>
      <c r="K32" s="130" t="s">
        <v>2150</v>
      </c>
      <c r="L32" s="148" t="s">
        <v>155</v>
      </c>
      <c r="M32" s="130"/>
      <c r="N32" s="130"/>
      <c r="O32" s="130"/>
      <c r="P32" s="353"/>
    </row>
    <row r="33" spans="1:16" ht="16.5">
      <c r="A33" s="481">
        <v>45847</v>
      </c>
      <c r="B33" s="321" t="s">
        <v>2360</v>
      </c>
      <c r="C33" s="322" t="s">
        <v>175</v>
      </c>
      <c r="D33" s="323" t="s">
        <v>119</v>
      </c>
      <c r="E33" s="321">
        <v>1000</v>
      </c>
      <c r="F33" s="358">
        <f t="shared" si="0"/>
        <v>1.7827139780891614</v>
      </c>
      <c r="G33" s="359">
        <v>560.94248000000005</v>
      </c>
      <c r="H33" s="325" t="s">
        <v>153</v>
      </c>
      <c r="I33" s="326" t="s">
        <v>2373</v>
      </c>
      <c r="J33" s="130" t="s">
        <v>98</v>
      </c>
      <c r="K33" s="130" t="s">
        <v>2150</v>
      </c>
      <c r="L33" s="148" t="s">
        <v>155</v>
      </c>
      <c r="M33" s="130"/>
      <c r="N33" s="130"/>
      <c r="O33" s="130"/>
      <c r="P33" s="353"/>
    </row>
    <row r="34" spans="1:16" ht="16.5">
      <c r="A34" s="481">
        <v>45847</v>
      </c>
      <c r="B34" s="321" t="s">
        <v>2356</v>
      </c>
      <c r="C34" s="322" t="s">
        <v>175</v>
      </c>
      <c r="D34" s="323" t="s">
        <v>119</v>
      </c>
      <c r="E34" s="321">
        <v>1000</v>
      </c>
      <c r="F34" s="358">
        <f t="shared" si="0"/>
        <v>1.7827139780891614</v>
      </c>
      <c r="G34" s="359">
        <v>560.94248000000005</v>
      </c>
      <c r="H34" s="325" t="s">
        <v>153</v>
      </c>
      <c r="I34" s="326" t="s">
        <v>2373</v>
      </c>
      <c r="J34" s="130" t="s">
        <v>98</v>
      </c>
      <c r="K34" s="130" t="s">
        <v>2150</v>
      </c>
      <c r="L34" s="148" t="s">
        <v>155</v>
      </c>
      <c r="M34" s="130"/>
      <c r="N34" s="130"/>
      <c r="O34" s="130"/>
      <c r="P34" s="353"/>
    </row>
    <row r="35" spans="1:16" ht="16.5">
      <c r="A35" s="481">
        <v>45847</v>
      </c>
      <c r="B35" s="484" t="s">
        <v>2377</v>
      </c>
      <c r="C35" s="485" t="s">
        <v>175</v>
      </c>
      <c r="D35" s="484" t="s">
        <v>117</v>
      </c>
      <c r="E35" s="485">
        <v>1000</v>
      </c>
      <c r="F35" s="358">
        <f t="shared" si="0"/>
        <v>1.7827139780891614</v>
      </c>
      <c r="G35" s="359">
        <v>560.94248000000005</v>
      </c>
      <c r="H35" s="486" t="s">
        <v>203</v>
      </c>
      <c r="I35" s="335" t="s">
        <v>2387</v>
      </c>
      <c r="J35" s="130" t="s">
        <v>98</v>
      </c>
      <c r="K35" s="130" t="s">
        <v>2150</v>
      </c>
      <c r="L35" s="148" t="s">
        <v>155</v>
      </c>
      <c r="M35" s="130"/>
      <c r="N35" s="130"/>
      <c r="O35" s="130"/>
      <c r="P35" s="353"/>
    </row>
    <row r="36" spans="1:16" ht="16.5">
      <c r="A36" s="481">
        <v>45847</v>
      </c>
      <c r="B36" s="484" t="s">
        <v>2378</v>
      </c>
      <c r="C36" s="485" t="s">
        <v>175</v>
      </c>
      <c r="D36" s="484" t="s">
        <v>117</v>
      </c>
      <c r="E36" s="485">
        <v>1000</v>
      </c>
      <c r="F36" s="358">
        <f t="shared" si="0"/>
        <v>1.7827139780891614</v>
      </c>
      <c r="G36" s="359">
        <v>560.94248000000005</v>
      </c>
      <c r="H36" s="486" t="s">
        <v>203</v>
      </c>
      <c r="I36" s="335" t="s">
        <v>2387</v>
      </c>
      <c r="J36" s="130" t="s">
        <v>98</v>
      </c>
      <c r="K36" s="130" t="s">
        <v>2150</v>
      </c>
      <c r="L36" s="148" t="s">
        <v>155</v>
      </c>
      <c r="M36" s="130"/>
      <c r="N36" s="130"/>
      <c r="O36" s="130"/>
      <c r="P36" s="353"/>
    </row>
    <row r="37" spans="1:16" ht="16.5">
      <c r="A37" s="481">
        <v>45848</v>
      </c>
      <c r="B37" s="321" t="s">
        <v>2355</v>
      </c>
      <c r="C37" s="322" t="s">
        <v>175</v>
      </c>
      <c r="D37" s="323" t="s">
        <v>119</v>
      </c>
      <c r="E37" s="321">
        <v>1000</v>
      </c>
      <c r="F37" s="358">
        <f t="shared" si="0"/>
        <v>1.7827139780891614</v>
      </c>
      <c r="G37" s="359">
        <v>560.94248000000005</v>
      </c>
      <c r="H37" s="325" t="s">
        <v>153</v>
      </c>
      <c r="I37" s="326" t="s">
        <v>2373</v>
      </c>
      <c r="J37" s="130" t="s">
        <v>98</v>
      </c>
      <c r="K37" s="130" t="s">
        <v>2150</v>
      </c>
      <c r="L37" s="148" t="s">
        <v>155</v>
      </c>
      <c r="M37" s="130"/>
      <c r="N37" s="130"/>
      <c r="O37" s="130"/>
      <c r="P37" s="353"/>
    </row>
    <row r="38" spans="1:16" ht="16.5">
      <c r="A38" s="481">
        <v>45848</v>
      </c>
      <c r="B38" s="321" t="s">
        <v>2356</v>
      </c>
      <c r="C38" s="322" t="s">
        <v>175</v>
      </c>
      <c r="D38" s="323" t="s">
        <v>119</v>
      </c>
      <c r="E38" s="321">
        <v>1000</v>
      </c>
      <c r="F38" s="358">
        <f t="shared" si="0"/>
        <v>1.7827139780891614</v>
      </c>
      <c r="G38" s="359">
        <v>560.94248000000005</v>
      </c>
      <c r="H38" s="325" t="s">
        <v>153</v>
      </c>
      <c r="I38" s="326" t="s">
        <v>2373</v>
      </c>
      <c r="J38" s="130" t="s">
        <v>98</v>
      </c>
      <c r="K38" s="130" t="s">
        <v>2150</v>
      </c>
      <c r="L38" s="148" t="s">
        <v>155</v>
      </c>
      <c r="M38" s="130"/>
      <c r="N38" s="130"/>
      <c r="O38" s="130"/>
      <c r="P38" s="353"/>
    </row>
    <row r="39" spans="1:16" ht="16.5">
      <c r="A39" s="481">
        <v>45848</v>
      </c>
      <c r="B39" s="482" t="s">
        <v>2394</v>
      </c>
      <c r="C39" s="482" t="s">
        <v>1737</v>
      </c>
      <c r="D39" s="482" t="s">
        <v>121</v>
      </c>
      <c r="E39" s="379">
        <v>-60000</v>
      </c>
      <c r="F39" s="358">
        <f t="shared" si="0"/>
        <v>-106.96283868534969</v>
      </c>
      <c r="G39" s="359">
        <v>560.94248000000005</v>
      </c>
      <c r="H39" s="266" t="s">
        <v>643</v>
      </c>
      <c r="I39" s="132" t="s">
        <v>2436</v>
      </c>
      <c r="J39" s="130" t="s">
        <v>98</v>
      </c>
      <c r="K39" s="130" t="s">
        <v>2150</v>
      </c>
      <c r="L39" s="148" t="s">
        <v>155</v>
      </c>
      <c r="M39" s="130"/>
      <c r="N39" s="130"/>
      <c r="O39" s="130"/>
      <c r="P39" s="353"/>
    </row>
    <row r="40" spans="1:16" ht="16.5">
      <c r="A40" s="481">
        <v>45849</v>
      </c>
      <c r="B40" s="321" t="s">
        <v>2355</v>
      </c>
      <c r="C40" s="322" t="s">
        <v>175</v>
      </c>
      <c r="D40" s="323" t="s">
        <v>119</v>
      </c>
      <c r="E40" s="321">
        <v>1000</v>
      </c>
      <c r="F40" s="358">
        <f t="shared" si="0"/>
        <v>1.7827139780891614</v>
      </c>
      <c r="G40" s="359">
        <v>560.94248000000005</v>
      </c>
      <c r="H40" s="325" t="s">
        <v>153</v>
      </c>
      <c r="I40" s="326" t="s">
        <v>2373</v>
      </c>
      <c r="J40" s="130" t="s">
        <v>98</v>
      </c>
      <c r="K40" s="130" t="s">
        <v>2150</v>
      </c>
      <c r="L40" s="148" t="s">
        <v>155</v>
      </c>
      <c r="M40" s="130"/>
      <c r="N40" s="130"/>
      <c r="O40" s="130"/>
      <c r="P40" s="353"/>
    </row>
    <row r="41" spans="1:16" ht="16.5">
      <c r="A41" s="481">
        <v>45849</v>
      </c>
      <c r="B41" s="321" t="s">
        <v>2356</v>
      </c>
      <c r="C41" s="322" t="s">
        <v>175</v>
      </c>
      <c r="D41" s="323" t="s">
        <v>119</v>
      </c>
      <c r="E41" s="321">
        <v>1000</v>
      </c>
      <c r="F41" s="358">
        <f t="shared" si="0"/>
        <v>1.7827139780891614</v>
      </c>
      <c r="G41" s="359">
        <v>560.94248000000005</v>
      </c>
      <c r="H41" s="325" t="s">
        <v>153</v>
      </c>
      <c r="I41" s="326" t="s">
        <v>2373</v>
      </c>
      <c r="J41" s="130" t="s">
        <v>98</v>
      </c>
      <c r="K41" s="130" t="s">
        <v>2150</v>
      </c>
      <c r="L41" s="148" t="s">
        <v>155</v>
      </c>
      <c r="M41" s="130"/>
      <c r="N41" s="130"/>
      <c r="O41" s="130"/>
      <c r="P41" s="353"/>
    </row>
    <row r="42" spans="1:16" ht="16.5">
      <c r="A42" s="481">
        <v>45849</v>
      </c>
      <c r="B42" s="484" t="s">
        <v>2379</v>
      </c>
      <c r="C42" s="485" t="s">
        <v>175</v>
      </c>
      <c r="D42" s="484" t="s">
        <v>117</v>
      </c>
      <c r="E42" s="485">
        <v>1000</v>
      </c>
      <c r="F42" s="358">
        <f t="shared" si="0"/>
        <v>1.7827139780891614</v>
      </c>
      <c r="G42" s="359">
        <v>560.94248000000005</v>
      </c>
      <c r="H42" s="486" t="s">
        <v>203</v>
      </c>
      <c r="I42" s="335" t="s">
        <v>2387</v>
      </c>
      <c r="J42" s="130" t="s">
        <v>98</v>
      </c>
      <c r="K42" s="130" t="s">
        <v>2150</v>
      </c>
      <c r="L42" s="148" t="s">
        <v>155</v>
      </c>
      <c r="M42" s="130"/>
      <c r="N42" s="130"/>
      <c r="O42" s="130"/>
      <c r="P42" s="353"/>
    </row>
    <row r="43" spans="1:16" ht="16.5">
      <c r="A43" s="481">
        <v>45849</v>
      </c>
      <c r="B43" s="484" t="s">
        <v>2378</v>
      </c>
      <c r="C43" s="485" t="s">
        <v>175</v>
      </c>
      <c r="D43" s="484" t="s">
        <v>117</v>
      </c>
      <c r="E43" s="485">
        <v>1000</v>
      </c>
      <c r="F43" s="358">
        <f t="shared" si="0"/>
        <v>1.7827139780891614</v>
      </c>
      <c r="G43" s="359">
        <v>560.94248000000005</v>
      </c>
      <c r="H43" s="486" t="s">
        <v>203</v>
      </c>
      <c r="I43" s="335" t="s">
        <v>2387</v>
      </c>
      <c r="J43" s="130" t="s">
        <v>98</v>
      </c>
      <c r="K43" s="130" t="s">
        <v>2150</v>
      </c>
      <c r="L43" s="148" t="s">
        <v>155</v>
      </c>
      <c r="M43" s="130"/>
      <c r="N43" s="130"/>
      <c r="O43" s="130"/>
      <c r="P43" s="353"/>
    </row>
    <row r="44" spans="1:16" ht="16.5">
      <c r="A44" s="481">
        <v>45849</v>
      </c>
      <c r="B44" s="482" t="s">
        <v>2395</v>
      </c>
      <c r="C44" s="482" t="s">
        <v>175</v>
      </c>
      <c r="D44" s="482" t="s">
        <v>118</v>
      </c>
      <c r="E44" s="379">
        <v>1000</v>
      </c>
      <c r="F44" s="358">
        <f t="shared" si="0"/>
        <v>1.7827139780891614</v>
      </c>
      <c r="G44" s="359">
        <v>560.94248000000005</v>
      </c>
      <c r="H44" s="482" t="s">
        <v>643</v>
      </c>
      <c r="I44" s="130" t="s">
        <v>2434</v>
      </c>
      <c r="J44" s="130" t="s">
        <v>98</v>
      </c>
      <c r="K44" s="130" t="s">
        <v>2150</v>
      </c>
      <c r="L44" s="148" t="s">
        <v>155</v>
      </c>
      <c r="M44" s="130"/>
      <c r="N44" s="130"/>
      <c r="O44" s="130"/>
      <c r="P44" s="353"/>
    </row>
    <row r="45" spans="1:16" ht="16.5">
      <c r="A45" s="481">
        <v>45849</v>
      </c>
      <c r="B45" s="482" t="s">
        <v>2396</v>
      </c>
      <c r="C45" s="482" t="s">
        <v>175</v>
      </c>
      <c r="D45" s="482" t="s">
        <v>118</v>
      </c>
      <c r="E45" s="379">
        <v>1000</v>
      </c>
      <c r="F45" s="358">
        <f t="shared" si="0"/>
        <v>1.7827139780891614</v>
      </c>
      <c r="G45" s="359">
        <v>560.94248000000005</v>
      </c>
      <c r="H45" s="482" t="s">
        <v>643</v>
      </c>
      <c r="I45" s="130" t="s">
        <v>2434</v>
      </c>
      <c r="J45" s="130" t="s">
        <v>98</v>
      </c>
      <c r="K45" s="130" t="s">
        <v>2150</v>
      </c>
      <c r="L45" s="148" t="s">
        <v>155</v>
      </c>
      <c r="M45" s="130"/>
      <c r="N45" s="130"/>
      <c r="O45" s="130"/>
      <c r="P45" s="353"/>
    </row>
    <row r="46" spans="1:16" ht="16.5">
      <c r="A46" s="481">
        <v>45849</v>
      </c>
      <c r="B46" s="482" t="s">
        <v>2397</v>
      </c>
      <c r="C46" s="482" t="s">
        <v>175</v>
      </c>
      <c r="D46" s="482" t="s">
        <v>118</v>
      </c>
      <c r="E46" s="379">
        <v>1000</v>
      </c>
      <c r="F46" s="358">
        <f t="shared" si="0"/>
        <v>1.7827139780891614</v>
      </c>
      <c r="G46" s="359">
        <v>560.94248000000005</v>
      </c>
      <c r="H46" s="482" t="s">
        <v>643</v>
      </c>
      <c r="I46" s="130" t="s">
        <v>2434</v>
      </c>
      <c r="J46" s="130" t="s">
        <v>98</v>
      </c>
      <c r="K46" s="130" t="s">
        <v>2150</v>
      </c>
      <c r="L46" s="148" t="s">
        <v>155</v>
      </c>
      <c r="M46" s="130"/>
      <c r="N46" s="130"/>
      <c r="O46" s="130"/>
      <c r="P46" s="353"/>
    </row>
    <row r="47" spans="1:16" ht="16.5">
      <c r="A47" s="481">
        <v>45849</v>
      </c>
      <c r="B47" s="482" t="s">
        <v>2398</v>
      </c>
      <c r="C47" s="482" t="s">
        <v>175</v>
      </c>
      <c r="D47" s="482" t="s">
        <v>118</v>
      </c>
      <c r="E47" s="379">
        <v>1000</v>
      </c>
      <c r="F47" s="358">
        <f t="shared" si="0"/>
        <v>1.7827139780891614</v>
      </c>
      <c r="G47" s="359">
        <v>560.94248000000005</v>
      </c>
      <c r="H47" s="482" t="s">
        <v>643</v>
      </c>
      <c r="I47" s="130" t="s">
        <v>2434</v>
      </c>
      <c r="J47" s="130" t="s">
        <v>98</v>
      </c>
      <c r="K47" s="130" t="s">
        <v>2150</v>
      </c>
      <c r="L47" s="148" t="s">
        <v>155</v>
      </c>
      <c r="M47" s="130"/>
      <c r="N47" s="130"/>
      <c r="O47" s="130"/>
      <c r="P47" s="353"/>
    </row>
    <row r="48" spans="1:16" ht="16.5">
      <c r="A48" s="481">
        <v>45849</v>
      </c>
      <c r="B48" s="404" t="s">
        <v>2160</v>
      </c>
      <c r="C48" s="183" t="s">
        <v>126</v>
      </c>
      <c r="D48" s="483" t="s">
        <v>118</v>
      </c>
      <c r="E48" s="478">
        <v>500000</v>
      </c>
      <c r="F48" s="358">
        <f t="shared" si="0"/>
        <v>891.3569890445807</v>
      </c>
      <c r="G48" s="359">
        <v>560.94248000000005</v>
      </c>
      <c r="H48" s="482" t="s">
        <v>148</v>
      </c>
      <c r="I48" s="130" t="s">
        <v>2545</v>
      </c>
      <c r="J48" s="130" t="s">
        <v>98</v>
      </c>
      <c r="K48" s="130" t="s">
        <v>2150</v>
      </c>
      <c r="L48" s="148" t="s">
        <v>155</v>
      </c>
      <c r="M48" s="130"/>
      <c r="N48" s="130"/>
      <c r="O48" s="130"/>
      <c r="P48" s="353"/>
    </row>
    <row r="49" spans="1:16" ht="16.5">
      <c r="A49" s="481">
        <v>45849</v>
      </c>
      <c r="B49" s="404" t="s">
        <v>2547</v>
      </c>
      <c r="C49" s="183" t="s">
        <v>125</v>
      </c>
      <c r="D49" s="483"/>
      <c r="E49" s="478"/>
      <c r="F49" s="358"/>
      <c r="G49" s="487">
        <f>+M49/N49</f>
        <v>534.23810000000003</v>
      </c>
      <c r="H49" s="482" t="s">
        <v>148</v>
      </c>
      <c r="I49" s="130" t="s">
        <v>2548</v>
      </c>
      <c r="J49" s="130" t="s">
        <v>98</v>
      </c>
      <c r="K49" s="130" t="s">
        <v>1285</v>
      </c>
      <c r="L49" s="148" t="s">
        <v>155</v>
      </c>
      <c r="M49" s="380">
        <v>5342381</v>
      </c>
      <c r="N49" s="130">
        <v>10000</v>
      </c>
      <c r="O49" s="130"/>
      <c r="P49" s="353"/>
    </row>
    <row r="50" spans="1:16" ht="16.5">
      <c r="A50" s="481">
        <v>45849</v>
      </c>
      <c r="B50" s="404" t="s">
        <v>2549</v>
      </c>
      <c r="C50" s="183" t="s">
        <v>127</v>
      </c>
      <c r="D50" s="183" t="s">
        <v>121</v>
      </c>
      <c r="E50" s="478">
        <v>400000</v>
      </c>
      <c r="F50" s="358">
        <f t="shared" ref="F50:F81" si="1">E50/G50</f>
        <v>748.72982664471135</v>
      </c>
      <c r="G50" s="487">
        <v>534.23810000000003</v>
      </c>
      <c r="H50" s="482" t="s">
        <v>148</v>
      </c>
      <c r="I50" s="130" t="s">
        <v>2550</v>
      </c>
      <c r="J50" s="130" t="s">
        <v>98</v>
      </c>
      <c r="K50" s="130" t="s">
        <v>1285</v>
      </c>
      <c r="L50" s="148" t="s">
        <v>155</v>
      </c>
      <c r="M50" s="130"/>
      <c r="N50" s="130"/>
      <c r="O50" s="130"/>
      <c r="P50" s="353"/>
    </row>
    <row r="51" spans="1:16" ht="16.5">
      <c r="A51" s="481">
        <v>45849</v>
      </c>
      <c r="B51" s="404" t="s">
        <v>2551</v>
      </c>
      <c r="C51" s="183" t="s">
        <v>127</v>
      </c>
      <c r="D51" s="183" t="s">
        <v>121</v>
      </c>
      <c r="E51" s="478">
        <v>255000</v>
      </c>
      <c r="F51" s="358">
        <f t="shared" si="1"/>
        <v>477.31526448600351</v>
      </c>
      <c r="G51" s="487">
        <v>534.23810000000003</v>
      </c>
      <c r="H51" s="482" t="s">
        <v>148</v>
      </c>
      <c r="I51" s="130" t="s">
        <v>2552</v>
      </c>
      <c r="J51" s="130" t="s">
        <v>98</v>
      </c>
      <c r="K51" s="130" t="s">
        <v>1285</v>
      </c>
      <c r="L51" s="148" t="s">
        <v>155</v>
      </c>
      <c r="M51" s="130"/>
      <c r="N51" s="130"/>
      <c r="O51" s="130"/>
      <c r="P51" s="353"/>
    </row>
    <row r="52" spans="1:16" ht="16.5">
      <c r="A52" s="481">
        <v>45849</v>
      </c>
      <c r="B52" s="404" t="s">
        <v>2553</v>
      </c>
      <c r="C52" s="483" t="s">
        <v>127</v>
      </c>
      <c r="D52" s="488" t="s">
        <v>121</v>
      </c>
      <c r="E52" s="478">
        <v>255000</v>
      </c>
      <c r="F52" s="358">
        <f t="shared" si="1"/>
        <v>477.31526448600351</v>
      </c>
      <c r="G52" s="487">
        <v>534.23810000000003</v>
      </c>
      <c r="H52" s="482" t="s">
        <v>148</v>
      </c>
      <c r="I52" s="130" t="s">
        <v>2554</v>
      </c>
      <c r="J52" s="130" t="s">
        <v>98</v>
      </c>
      <c r="K52" s="130" t="s">
        <v>1285</v>
      </c>
      <c r="L52" s="148" t="s">
        <v>155</v>
      </c>
      <c r="M52" s="130"/>
      <c r="N52" s="130"/>
      <c r="O52" s="130"/>
      <c r="P52" s="353"/>
    </row>
    <row r="53" spans="1:16" ht="16.5">
      <c r="A53" s="481">
        <v>45849</v>
      </c>
      <c r="B53" s="404" t="s">
        <v>2555</v>
      </c>
      <c r="C53" s="183" t="s">
        <v>127</v>
      </c>
      <c r="D53" s="183" t="s">
        <v>121</v>
      </c>
      <c r="E53" s="478">
        <v>255000</v>
      </c>
      <c r="F53" s="358">
        <f t="shared" si="1"/>
        <v>477.31526448600351</v>
      </c>
      <c r="G53" s="487">
        <v>534.23810000000003</v>
      </c>
      <c r="H53" s="482" t="s">
        <v>148</v>
      </c>
      <c r="I53" s="130" t="s">
        <v>2556</v>
      </c>
      <c r="J53" s="130" t="s">
        <v>98</v>
      </c>
      <c r="K53" s="130" t="s">
        <v>1285</v>
      </c>
      <c r="L53" s="148" t="s">
        <v>155</v>
      </c>
      <c r="M53" s="130"/>
      <c r="N53" s="130"/>
      <c r="O53" s="130"/>
      <c r="P53" s="353"/>
    </row>
    <row r="54" spans="1:16" ht="16.5">
      <c r="A54" s="481">
        <v>45849</v>
      </c>
      <c r="B54" s="404" t="s">
        <v>2676</v>
      </c>
      <c r="C54" s="183" t="s">
        <v>127</v>
      </c>
      <c r="D54" s="183" t="s">
        <v>118</v>
      </c>
      <c r="E54" s="478">
        <v>230000</v>
      </c>
      <c r="F54" s="358">
        <f t="shared" si="1"/>
        <v>430.51965032070905</v>
      </c>
      <c r="G54" s="487">
        <v>534.23810000000003</v>
      </c>
      <c r="H54" s="482" t="s">
        <v>148</v>
      </c>
      <c r="I54" s="130" t="s">
        <v>2557</v>
      </c>
      <c r="J54" s="130" t="s">
        <v>98</v>
      </c>
      <c r="K54" s="130" t="s">
        <v>1285</v>
      </c>
      <c r="L54" s="148" t="s">
        <v>155</v>
      </c>
      <c r="M54" s="130"/>
      <c r="N54" s="130"/>
      <c r="O54" s="130"/>
      <c r="P54" s="353"/>
    </row>
    <row r="55" spans="1:16" ht="16.5">
      <c r="A55" s="481">
        <v>45849</v>
      </c>
      <c r="B55" s="404" t="s">
        <v>2677</v>
      </c>
      <c r="C55" s="483" t="s">
        <v>127</v>
      </c>
      <c r="D55" s="488" t="s">
        <v>117</v>
      </c>
      <c r="E55" s="478">
        <v>200000</v>
      </c>
      <c r="F55" s="358">
        <f t="shared" si="1"/>
        <v>374.36491332235568</v>
      </c>
      <c r="G55" s="487">
        <v>534.23810000000003</v>
      </c>
      <c r="H55" s="482" t="s">
        <v>148</v>
      </c>
      <c r="I55" s="130" t="s">
        <v>2558</v>
      </c>
      <c r="J55" s="130" t="s">
        <v>98</v>
      </c>
      <c r="K55" s="130" t="s">
        <v>1285</v>
      </c>
      <c r="L55" s="148" t="s">
        <v>155</v>
      </c>
      <c r="M55" s="130"/>
      <c r="N55" s="130"/>
      <c r="O55" s="130"/>
      <c r="P55" s="353"/>
    </row>
    <row r="56" spans="1:16" ht="16.5">
      <c r="A56" s="481">
        <v>45849</v>
      </c>
      <c r="B56" s="404" t="s">
        <v>2559</v>
      </c>
      <c r="C56" s="483" t="s">
        <v>127</v>
      </c>
      <c r="D56" s="488" t="s">
        <v>117</v>
      </c>
      <c r="E56" s="478">
        <v>551482</v>
      </c>
      <c r="F56" s="358">
        <f t="shared" si="1"/>
        <v>1032.2775556441968</v>
      </c>
      <c r="G56" s="487">
        <v>534.23810000000003</v>
      </c>
      <c r="H56" s="482" t="s">
        <v>148</v>
      </c>
      <c r="I56" s="130" t="s">
        <v>2560</v>
      </c>
      <c r="J56" s="130" t="s">
        <v>98</v>
      </c>
      <c r="K56" s="130" t="s">
        <v>1285</v>
      </c>
      <c r="L56" s="148" t="s">
        <v>155</v>
      </c>
      <c r="M56" s="130"/>
      <c r="N56" s="130"/>
      <c r="O56" s="130"/>
      <c r="P56" s="353"/>
    </row>
    <row r="57" spans="1:16" ht="16.5">
      <c r="A57" s="481">
        <v>45849</v>
      </c>
      <c r="B57" s="404" t="s">
        <v>2561</v>
      </c>
      <c r="C57" s="183" t="s">
        <v>127</v>
      </c>
      <c r="D57" s="483" t="s">
        <v>117</v>
      </c>
      <c r="E57" s="478">
        <v>300000</v>
      </c>
      <c r="F57" s="358">
        <f t="shared" si="1"/>
        <v>561.54736998353349</v>
      </c>
      <c r="G57" s="487">
        <v>534.23810000000003</v>
      </c>
      <c r="H57" s="482" t="s">
        <v>148</v>
      </c>
      <c r="I57" s="130" t="s">
        <v>2562</v>
      </c>
      <c r="J57" s="130" t="s">
        <v>98</v>
      </c>
      <c r="K57" s="130" t="s">
        <v>1285</v>
      </c>
      <c r="L57" s="148" t="s">
        <v>155</v>
      </c>
      <c r="M57" s="130"/>
      <c r="N57" s="130"/>
      <c r="O57" s="130"/>
      <c r="P57" s="353"/>
    </row>
    <row r="58" spans="1:16" ht="16.5">
      <c r="A58" s="481">
        <v>45849</v>
      </c>
      <c r="B58" s="404" t="s">
        <v>2563</v>
      </c>
      <c r="C58" s="183" t="s">
        <v>127</v>
      </c>
      <c r="D58" s="483" t="s">
        <v>120</v>
      </c>
      <c r="E58" s="478">
        <v>238140</v>
      </c>
      <c r="F58" s="358">
        <f t="shared" si="1"/>
        <v>445.75630229292892</v>
      </c>
      <c r="G58" s="487">
        <v>534.23810000000003</v>
      </c>
      <c r="H58" s="482" t="s">
        <v>148</v>
      </c>
      <c r="I58" s="130" t="s">
        <v>2564</v>
      </c>
      <c r="J58" s="130" t="s">
        <v>98</v>
      </c>
      <c r="K58" s="130" t="s">
        <v>1285</v>
      </c>
      <c r="L58" s="148" t="s">
        <v>155</v>
      </c>
      <c r="M58" s="130"/>
      <c r="N58" s="130"/>
      <c r="O58" s="130"/>
      <c r="P58" s="353"/>
    </row>
    <row r="59" spans="1:16" ht="16.5">
      <c r="A59" s="481">
        <v>45849</v>
      </c>
      <c r="B59" s="404" t="s">
        <v>2679</v>
      </c>
      <c r="C59" s="483" t="s">
        <v>127</v>
      </c>
      <c r="D59" s="488" t="s">
        <v>119</v>
      </c>
      <c r="E59" s="478">
        <v>786600</v>
      </c>
      <c r="F59" s="358">
        <f t="shared" si="1"/>
        <v>1472.3772040968249</v>
      </c>
      <c r="G59" s="487">
        <v>534.23810000000003</v>
      </c>
      <c r="H59" s="482" t="s">
        <v>148</v>
      </c>
      <c r="I59" s="130" t="s">
        <v>2565</v>
      </c>
      <c r="J59" s="130" t="s">
        <v>98</v>
      </c>
      <c r="K59" s="130" t="s">
        <v>1285</v>
      </c>
      <c r="L59" s="148" t="s">
        <v>155</v>
      </c>
      <c r="M59" s="130"/>
      <c r="N59" s="130"/>
      <c r="O59" s="130"/>
      <c r="P59" s="353"/>
    </row>
    <row r="60" spans="1:16" ht="16.5">
      <c r="A60" s="481">
        <v>45849</v>
      </c>
      <c r="B60" s="404" t="s">
        <v>2680</v>
      </c>
      <c r="C60" s="483" t="s">
        <v>127</v>
      </c>
      <c r="D60" s="488" t="s">
        <v>119</v>
      </c>
      <c r="E60" s="478">
        <v>524400</v>
      </c>
      <c r="F60" s="358">
        <f t="shared" si="1"/>
        <v>981.58480273121666</v>
      </c>
      <c r="G60" s="487">
        <v>534.23810000000003</v>
      </c>
      <c r="H60" s="482" t="s">
        <v>148</v>
      </c>
      <c r="I60" s="130" t="s">
        <v>2566</v>
      </c>
      <c r="J60" s="130" t="s">
        <v>98</v>
      </c>
      <c r="K60" s="130" t="s">
        <v>1285</v>
      </c>
      <c r="L60" s="148" t="s">
        <v>155</v>
      </c>
      <c r="M60" s="130"/>
      <c r="N60" s="130"/>
      <c r="O60" s="130"/>
      <c r="P60" s="353"/>
    </row>
    <row r="61" spans="1:16" s="357" customFormat="1" ht="16.5">
      <c r="A61" s="481">
        <v>45849</v>
      </c>
      <c r="B61" s="404" t="s">
        <v>2603</v>
      </c>
      <c r="C61" s="483" t="s">
        <v>128</v>
      </c>
      <c r="D61" s="488" t="s">
        <v>118</v>
      </c>
      <c r="E61" s="478">
        <v>10665</v>
      </c>
      <c r="F61" s="358">
        <f t="shared" si="1"/>
        <v>19.963009002914617</v>
      </c>
      <c r="G61" s="487">
        <v>534.23810000000003</v>
      </c>
      <c r="H61" s="482" t="s">
        <v>148</v>
      </c>
      <c r="I61" s="130" t="s">
        <v>2568</v>
      </c>
      <c r="J61" s="130" t="s">
        <v>98</v>
      </c>
      <c r="K61" s="130" t="s">
        <v>1285</v>
      </c>
      <c r="L61" s="148" t="s">
        <v>155</v>
      </c>
      <c r="M61" s="130"/>
      <c r="N61" s="130"/>
      <c r="O61" s="130"/>
      <c r="P61" s="377"/>
    </row>
    <row r="62" spans="1:16" ht="16.5">
      <c r="A62" s="481">
        <v>45852</v>
      </c>
      <c r="B62" s="321" t="s">
        <v>2355</v>
      </c>
      <c r="C62" s="322" t="s">
        <v>175</v>
      </c>
      <c r="D62" s="323" t="s">
        <v>119</v>
      </c>
      <c r="E62" s="321">
        <v>1000</v>
      </c>
      <c r="F62" s="358">
        <f t="shared" si="1"/>
        <v>1.8718245666117783</v>
      </c>
      <c r="G62" s="487">
        <v>534.23810000000003</v>
      </c>
      <c r="H62" s="325" t="s">
        <v>153</v>
      </c>
      <c r="I62" s="326" t="s">
        <v>2373</v>
      </c>
      <c r="J62" s="130" t="s">
        <v>98</v>
      </c>
      <c r="K62" s="130" t="s">
        <v>1285</v>
      </c>
      <c r="L62" s="148" t="s">
        <v>155</v>
      </c>
      <c r="M62" s="130"/>
      <c r="N62" s="130"/>
      <c r="O62" s="130"/>
      <c r="P62" s="353"/>
    </row>
    <row r="63" spans="1:16" ht="16.5">
      <c r="A63" s="481">
        <v>45852</v>
      </c>
      <c r="B63" s="321" t="s">
        <v>2356</v>
      </c>
      <c r="C63" s="322" t="s">
        <v>175</v>
      </c>
      <c r="D63" s="323" t="s">
        <v>119</v>
      </c>
      <c r="E63" s="321">
        <v>1000</v>
      </c>
      <c r="F63" s="358">
        <f t="shared" si="1"/>
        <v>1.8718245666117783</v>
      </c>
      <c r="G63" s="487">
        <v>534.23810000000003</v>
      </c>
      <c r="H63" s="325" t="s">
        <v>153</v>
      </c>
      <c r="I63" s="326" t="s">
        <v>2373</v>
      </c>
      <c r="J63" s="130" t="s">
        <v>98</v>
      </c>
      <c r="K63" s="130" t="s">
        <v>1285</v>
      </c>
      <c r="L63" s="148" t="s">
        <v>155</v>
      </c>
      <c r="M63" s="130"/>
      <c r="N63" s="130"/>
      <c r="O63" s="130"/>
      <c r="P63" s="353"/>
    </row>
    <row r="64" spans="1:16" ht="16.5">
      <c r="A64" s="481">
        <v>45852</v>
      </c>
      <c r="B64" s="404" t="s">
        <v>2674</v>
      </c>
      <c r="C64" s="183" t="s">
        <v>127</v>
      </c>
      <c r="D64" s="489" t="s">
        <v>117</v>
      </c>
      <c r="E64" s="478">
        <v>200000</v>
      </c>
      <c r="F64" s="358">
        <f t="shared" si="1"/>
        <v>374.36491332235568</v>
      </c>
      <c r="G64" s="487">
        <v>534.23810000000003</v>
      </c>
      <c r="H64" s="482" t="s">
        <v>148</v>
      </c>
      <c r="I64" s="130" t="s">
        <v>2569</v>
      </c>
      <c r="J64" s="130" t="s">
        <v>98</v>
      </c>
      <c r="K64" s="130" t="s">
        <v>1285</v>
      </c>
      <c r="L64" s="148" t="s">
        <v>155</v>
      </c>
      <c r="M64" s="130"/>
      <c r="N64" s="130"/>
      <c r="O64" s="130"/>
      <c r="P64" s="353"/>
    </row>
    <row r="65" spans="1:16" ht="16.5">
      <c r="A65" s="481">
        <v>45853</v>
      </c>
      <c r="B65" s="321" t="s">
        <v>2361</v>
      </c>
      <c r="C65" s="322" t="s">
        <v>175</v>
      </c>
      <c r="D65" s="323" t="s">
        <v>119</v>
      </c>
      <c r="E65" s="321">
        <v>1000</v>
      </c>
      <c r="F65" s="358">
        <f t="shared" si="1"/>
        <v>1.8718245666117783</v>
      </c>
      <c r="G65" s="487">
        <v>534.23810000000003</v>
      </c>
      <c r="H65" s="325" t="s">
        <v>153</v>
      </c>
      <c r="I65" s="326" t="s">
        <v>2373</v>
      </c>
      <c r="J65" s="130" t="s">
        <v>98</v>
      </c>
      <c r="K65" s="130" t="s">
        <v>1285</v>
      </c>
      <c r="L65" s="148" t="s">
        <v>155</v>
      </c>
      <c r="M65" s="130"/>
      <c r="N65" s="130"/>
      <c r="O65" s="130"/>
      <c r="P65" s="353"/>
    </row>
    <row r="66" spans="1:16" ht="16.5">
      <c r="A66" s="481">
        <v>45853</v>
      </c>
      <c r="B66" s="321" t="s">
        <v>2360</v>
      </c>
      <c r="C66" s="322" t="s">
        <v>175</v>
      </c>
      <c r="D66" s="323" t="s">
        <v>119</v>
      </c>
      <c r="E66" s="321">
        <v>1000</v>
      </c>
      <c r="F66" s="358">
        <f t="shared" si="1"/>
        <v>1.8718245666117783</v>
      </c>
      <c r="G66" s="487">
        <v>534.23810000000003</v>
      </c>
      <c r="H66" s="325" t="s">
        <v>153</v>
      </c>
      <c r="I66" s="326" t="s">
        <v>2373</v>
      </c>
      <c r="J66" s="130" t="s">
        <v>98</v>
      </c>
      <c r="K66" s="130" t="s">
        <v>1285</v>
      </c>
      <c r="L66" s="148" t="s">
        <v>155</v>
      </c>
      <c r="M66" s="130"/>
      <c r="N66" s="130"/>
      <c r="O66" s="130"/>
      <c r="P66" s="353"/>
    </row>
    <row r="67" spans="1:16" ht="16.5">
      <c r="A67" s="481">
        <v>45853</v>
      </c>
      <c r="B67" s="321" t="s">
        <v>2356</v>
      </c>
      <c r="C67" s="322" t="s">
        <v>175</v>
      </c>
      <c r="D67" s="323" t="s">
        <v>119</v>
      </c>
      <c r="E67" s="321">
        <v>1000</v>
      </c>
      <c r="F67" s="358">
        <f t="shared" si="1"/>
        <v>1.8718245666117783</v>
      </c>
      <c r="G67" s="487">
        <v>534.23810000000003</v>
      </c>
      <c r="H67" s="325" t="s">
        <v>153</v>
      </c>
      <c r="I67" s="326" t="s">
        <v>2373</v>
      </c>
      <c r="J67" s="130" t="s">
        <v>98</v>
      </c>
      <c r="K67" s="130" t="s">
        <v>1285</v>
      </c>
      <c r="L67" s="148" t="s">
        <v>155</v>
      </c>
      <c r="M67" s="130"/>
      <c r="N67" s="130"/>
      <c r="O67" s="130"/>
      <c r="P67" s="353"/>
    </row>
    <row r="68" spans="1:16" ht="16.5">
      <c r="A68" s="481">
        <v>45853</v>
      </c>
      <c r="B68" s="482" t="s">
        <v>2399</v>
      </c>
      <c r="C68" s="482" t="s">
        <v>175</v>
      </c>
      <c r="D68" s="482" t="s">
        <v>118</v>
      </c>
      <c r="E68" s="379">
        <v>1000</v>
      </c>
      <c r="F68" s="358">
        <f t="shared" si="1"/>
        <v>1.8718245666117783</v>
      </c>
      <c r="G68" s="487">
        <v>534.23810000000003</v>
      </c>
      <c r="H68" s="482" t="s">
        <v>643</v>
      </c>
      <c r="I68" s="130" t="s">
        <v>2434</v>
      </c>
      <c r="J68" s="130" t="s">
        <v>98</v>
      </c>
      <c r="K68" s="130" t="s">
        <v>1285</v>
      </c>
      <c r="L68" s="148" t="s">
        <v>155</v>
      </c>
      <c r="M68" s="130"/>
      <c r="N68" s="130"/>
      <c r="O68" s="130"/>
      <c r="P68" s="353"/>
    </row>
    <row r="69" spans="1:16" ht="16.5">
      <c r="A69" s="481">
        <v>45853</v>
      </c>
      <c r="B69" s="482" t="s">
        <v>2400</v>
      </c>
      <c r="C69" s="482" t="s">
        <v>175</v>
      </c>
      <c r="D69" s="482" t="s">
        <v>118</v>
      </c>
      <c r="E69" s="379">
        <v>1000</v>
      </c>
      <c r="F69" s="358">
        <f t="shared" si="1"/>
        <v>1.8718245666117783</v>
      </c>
      <c r="G69" s="487">
        <v>534.23810000000003</v>
      </c>
      <c r="H69" s="482" t="s">
        <v>643</v>
      </c>
      <c r="I69" s="130" t="s">
        <v>2434</v>
      </c>
      <c r="J69" s="130" t="s">
        <v>98</v>
      </c>
      <c r="K69" s="130" t="s">
        <v>1285</v>
      </c>
      <c r="L69" s="148" t="s">
        <v>155</v>
      </c>
      <c r="M69" s="130"/>
      <c r="N69" s="130"/>
      <c r="O69" s="130"/>
      <c r="P69" s="353"/>
    </row>
    <row r="70" spans="1:16" ht="16.5">
      <c r="A70" s="481">
        <v>45853</v>
      </c>
      <c r="B70" s="482" t="s">
        <v>2401</v>
      </c>
      <c r="C70" s="482" t="s">
        <v>175</v>
      </c>
      <c r="D70" s="482" t="s">
        <v>118</v>
      </c>
      <c r="E70" s="379">
        <v>1000</v>
      </c>
      <c r="F70" s="358">
        <f t="shared" si="1"/>
        <v>1.8718245666117783</v>
      </c>
      <c r="G70" s="487">
        <v>534.23810000000003</v>
      </c>
      <c r="H70" s="482" t="s">
        <v>643</v>
      </c>
      <c r="I70" s="130" t="s">
        <v>2434</v>
      </c>
      <c r="J70" s="130" t="s">
        <v>98</v>
      </c>
      <c r="K70" s="130" t="s">
        <v>1285</v>
      </c>
      <c r="L70" s="148" t="s">
        <v>155</v>
      </c>
      <c r="M70" s="130"/>
      <c r="N70" s="130"/>
      <c r="O70" s="130"/>
      <c r="P70" s="353"/>
    </row>
    <row r="71" spans="1:16" ht="16.5">
      <c r="A71" s="481">
        <v>45853</v>
      </c>
      <c r="B71" s="381" t="s">
        <v>2570</v>
      </c>
      <c r="C71" s="381" t="s">
        <v>127</v>
      </c>
      <c r="D71" s="381" t="s">
        <v>117</v>
      </c>
      <c r="E71" s="478">
        <v>368700</v>
      </c>
      <c r="F71" s="358">
        <f t="shared" si="1"/>
        <v>690.1417177097627</v>
      </c>
      <c r="G71" s="487">
        <v>534.23810000000003</v>
      </c>
      <c r="H71" s="482" t="s">
        <v>148</v>
      </c>
      <c r="I71" s="130" t="s">
        <v>2571</v>
      </c>
      <c r="J71" s="130" t="s">
        <v>98</v>
      </c>
      <c r="K71" s="130" t="s">
        <v>1285</v>
      </c>
      <c r="L71" s="148" t="s">
        <v>155</v>
      </c>
      <c r="M71" s="130"/>
      <c r="N71" s="130"/>
      <c r="O71" s="130"/>
      <c r="P71" s="353"/>
    </row>
    <row r="72" spans="1:16" s="357" customFormat="1" ht="16.5">
      <c r="A72" s="481">
        <v>45853</v>
      </c>
      <c r="B72" s="381" t="s">
        <v>2572</v>
      </c>
      <c r="C72" s="381" t="s">
        <v>127</v>
      </c>
      <c r="D72" s="381" t="s">
        <v>117</v>
      </c>
      <c r="E72" s="478">
        <v>177789</v>
      </c>
      <c r="F72" s="358">
        <f t="shared" si="1"/>
        <v>332.78981787334146</v>
      </c>
      <c r="G72" s="487">
        <v>534.23810000000003</v>
      </c>
      <c r="H72" s="482" t="s">
        <v>148</v>
      </c>
      <c r="I72" s="130" t="s">
        <v>2573</v>
      </c>
      <c r="J72" s="130" t="s">
        <v>98</v>
      </c>
      <c r="K72" s="130" t="s">
        <v>1285</v>
      </c>
      <c r="L72" s="148" t="s">
        <v>155</v>
      </c>
      <c r="M72" s="130"/>
      <c r="N72" s="130"/>
      <c r="O72" s="130"/>
      <c r="P72" s="377"/>
    </row>
    <row r="73" spans="1:16" ht="16.5">
      <c r="A73" s="481">
        <v>45853</v>
      </c>
      <c r="B73" s="381" t="s">
        <v>2574</v>
      </c>
      <c r="C73" s="381" t="s">
        <v>127</v>
      </c>
      <c r="D73" s="381" t="s">
        <v>117</v>
      </c>
      <c r="E73" s="478">
        <v>118814</v>
      </c>
      <c r="F73" s="358">
        <f t="shared" si="1"/>
        <v>222.39896405741183</v>
      </c>
      <c r="G73" s="487">
        <v>534.23810000000003</v>
      </c>
      <c r="H73" s="482" t="s">
        <v>148</v>
      </c>
      <c r="I73" s="130" t="s">
        <v>2575</v>
      </c>
      <c r="J73" s="130" t="s">
        <v>98</v>
      </c>
      <c r="K73" s="130" t="s">
        <v>1285</v>
      </c>
      <c r="L73" s="148" t="s">
        <v>155</v>
      </c>
      <c r="M73" s="130"/>
      <c r="N73" s="130"/>
      <c r="O73" s="130"/>
      <c r="P73" s="353"/>
    </row>
    <row r="74" spans="1:16" ht="16.5">
      <c r="A74" s="481">
        <v>45853</v>
      </c>
      <c r="B74" s="381" t="s">
        <v>2576</v>
      </c>
      <c r="C74" s="381" t="s">
        <v>127</v>
      </c>
      <c r="D74" s="381" t="s">
        <v>117</v>
      </c>
      <c r="E74" s="478">
        <v>103494</v>
      </c>
      <c r="F74" s="358">
        <f t="shared" si="1"/>
        <v>193.72261169691939</v>
      </c>
      <c r="G74" s="487">
        <v>534.23810000000003</v>
      </c>
      <c r="H74" s="482" t="s">
        <v>148</v>
      </c>
      <c r="I74" s="130" t="s">
        <v>2577</v>
      </c>
      <c r="J74" s="130" t="s">
        <v>98</v>
      </c>
      <c r="K74" s="130" t="s">
        <v>1285</v>
      </c>
      <c r="L74" s="148" t="s">
        <v>155</v>
      </c>
      <c r="M74" s="130"/>
      <c r="N74" s="130"/>
      <c r="O74" s="130"/>
      <c r="P74" s="353"/>
    </row>
    <row r="75" spans="1:16" ht="16.5">
      <c r="A75" s="481">
        <v>45853</v>
      </c>
      <c r="B75" s="381" t="s">
        <v>2578</v>
      </c>
      <c r="C75" s="381" t="s">
        <v>127</v>
      </c>
      <c r="D75" s="381" t="s">
        <v>117</v>
      </c>
      <c r="E75" s="478">
        <v>103494</v>
      </c>
      <c r="F75" s="358">
        <f t="shared" si="1"/>
        <v>193.72261169691939</v>
      </c>
      <c r="G75" s="487">
        <v>534.23810000000003</v>
      </c>
      <c r="H75" s="482" t="s">
        <v>148</v>
      </c>
      <c r="I75" s="130" t="s">
        <v>2579</v>
      </c>
      <c r="J75" s="130" t="s">
        <v>98</v>
      </c>
      <c r="K75" s="130" t="s">
        <v>1285</v>
      </c>
      <c r="L75" s="148" t="s">
        <v>155</v>
      </c>
      <c r="M75" s="130"/>
      <c r="N75" s="130"/>
      <c r="O75" s="130"/>
      <c r="P75" s="353"/>
    </row>
    <row r="76" spans="1:16" ht="16.5">
      <c r="A76" s="481">
        <v>45853</v>
      </c>
      <c r="B76" s="381" t="s">
        <v>2580</v>
      </c>
      <c r="C76" s="381" t="s">
        <v>127</v>
      </c>
      <c r="D76" s="381" t="s">
        <v>118</v>
      </c>
      <c r="E76" s="478">
        <v>124433</v>
      </c>
      <c r="F76" s="358">
        <f t="shared" si="1"/>
        <v>232.91674629720342</v>
      </c>
      <c r="G76" s="487">
        <v>534.23810000000003</v>
      </c>
      <c r="H76" s="482" t="s">
        <v>148</v>
      </c>
      <c r="I76" s="130" t="s">
        <v>2581</v>
      </c>
      <c r="J76" s="130" t="s">
        <v>98</v>
      </c>
      <c r="K76" s="130" t="s">
        <v>1285</v>
      </c>
      <c r="L76" s="148" t="s">
        <v>155</v>
      </c>
      <c r="M76" s="130"/>
      <c r="N76" s="130"/>
      <c r="O76" s="130"/>
      <c r="P76" s="353"/>
    </row>
    <row r="77" spans="1:16" ht="16.5">
      <c r="A77" s="481">
        <v>45853</v>
      </c>
      <c r="B77" s="381" t="s">
        <v>2582</v>
      </c>
      <c r="C77" s="381" t="s">
        <v>127</v>
      </c>
      <c r="D77" s="381" t="s">
        <v>120</v>
      </c>
      <c r="E77" s="478">
        <v>155330</v>
      </c>
      <c r="F77" s="358">
        <f t="shared" si="1"/>
        <v>276.90896221658943</v>
      </c>
      <c r="G77" s="359">
        <v>560.94248000000005</v>
      </c>
      <c r="H77" s="482" t="s">
        <v>148</v>
      </c>
      <c r="I77" s="130" t="s">
        <v>2583</v>
      </c>
      <c r="J77" s="130" t="s">
        <v>98</v>
      </c>
      <c r="K77" s="130" t="s">
        <v>2150</v>
      </c>
      <c r="L77" s="148" t="s">
        <v>155</v>
      </c>
      <c r="M77" s="130"/>
      <c r="N77" s="130"/>
      <c r="O77" s="130"/>
      <c r="P77" s="353"/>
    </row>
    <row r="78" spans="1:16" ht="16.5">
      <c r="A78" s="481">
        <v>45854</v>
      </c>
      <c r="B78" s="321" t="s">
        <v>2355</v>
      </c>
      <c r="C78" s="322" t="s">
        <v>175</v>
      </c>
      <c r="D78" s="323" t="s">
        <v>119</v>
      </c>
      <c r="E78" s="321">
        <v>1000</v>
      </c>
      <c r="F78" s="358">
        <f t="shared" si="1"/>
        <v>1.8718245666117783</v>
      </c>
      <c r="G78" s="487">
        <v>534.23810000000003</v>
      </c>
      <c r="H78" s="325" t="s">
        <v>153</v>
      </c>
      <c r="I78" s="326" t="s">
        <v>2373</v>
      </c>
      <c r="J78" s="130" t="s">
        <v>98</v>
      </c>
      <c r="K78" s="130" t="s">
        <v>1285</v>
      </c>
      <c r="L78" s="148" t="s">
        <v>155</v>
      </c>
      <c r="M78" s="130"/>
      <c r="N78" s="130"/>
      <c r="O78" s="148"/>
      <c r="P78" s="353"/>
    </row>
    <row r="79" spans="1:16" ht="16.5">
      <c r="A79" s="481">
        <v>45854</v>
      </c>
      <c r="B79" s="321" t="s">
        <v>2356</v>
      </c>
      <c r="C79" s="322" t="s">
        <v>175</v>
      </c>
      <c r="D79" s="323" t="s">
        <v>119</v>
      </c>
      <c r="E79" s="321">
        <v>1000</v>
      </c>
      <c r="F79" s="358">
        <f t="shared" si="1"/>
        <v>1.8718245666117783</v>
      </c>
      <c r="G79" s="487">
        <v>534.23810000000003</v>
      </c>
      <c r="H79" s="325" t="s">
        <v>153</v>
      </c>
      <c r="I79" s="326" t="s">
        <v>2373</v>
      </c>
      <c r="J79" s="130" t="s">
        <v>98</v>
      </c>
      <c r="K79" s="130" t="s">
        <v>1285</v>
      </c>
      <c r="L79" s="148" t="s">
        <v>155</v>
      </c>
      <c r="M79" s="130"/>
      <c r="N79" s="130"/>
      <c r="O79" s="130"/>
      <c r="P79" s="353"/>
    </row>
    <row r="80" spans="1:16" ht="16.5">
      <c r="A80" s="481">
        <v>45854</v>
      </c>
      <c r="B80" s="482" t="s">
        <v>2402</v>
      </c>
      <c r="C80" s="482" t="s">
        <v>175</v>
      </c>
      <c r="D80" s="482" t="s">
        <v>118</v>
      </c>
      <c r="E80" s="379">
        <v>1000</v>
      </c>
      <c r="F80" s="358">
        <f t="shared" si="1"/>
        <v>1.8718245666117783</v>
      </c>
      <c r="G80" s="487">
        <v>534.23810000000003</v>
      </c>
      <c r="H80" s="482" t="s">
        <v>643</v>
      </c>
      <c r="I80" s="130" t="s">
        <v>2434</v>
      </c>
      <c r="J80" s="130" t="s">
        <v>98</v>
      </c>
      <c r="K80" s="130" t="s">
        <v>1285</v>
      </c>
      <c r="L80" s="148" t="s">
        <v>155</v>
      </c>
      <c r="M80" s="130"/>
      <c r="N80" s="130"/>
      <c r="O80" s="130"/>
      <c r="P80" s="353"/>
    </row>
    <row r="81" spans="1:16" ht="16.5">
      <c r="A81" s="481">
        <v>45854</v>
      </c>
      <c r="B81" s="482" t="s">
        <v>2403</v>
      </c>
      <c r="C81" s="482" t="s">
        <v>175</v>
      </c>
      <c r="D81" s="482" t="s">
        <v>118</v>
      </c>
      <c r="E81" s="379">
        <v>1000</v>
      </c>
      <c r="F81" s="358">
        <f t="shared" si="1"/>
        <v>1.8718245666117783</v>
      </c>
      <c r="G81" s="487">
        <v>534.23810000000003</v>
      </c>
      <c r="H81" s="482" t="s">
        <v>643</v>
      </c>
      <c r="I81" s="130" t="s">
        <v>2434</v>
      </c>
      <c r="J81" s="130" t="s">
        <v>98</v>
      </c>
      <c r="K81" s="130" t="s">
        <v>1285</v>
      </c>
      <c r="L81" s="148" t="s">
        <v>155</v>
      </c>
      <c r="M81" s="130"/>
      <c r="N81" s="130"/>
      <c r="O81" s="130"/>
      <c r="P81" s="353"/>
    </row>
    <row r="82" spans="1:16" s="479" customFormat="1" ht="16.5">
      <c r="A82" s="481">
        <v>45854</v>
      </c>
      <c r="B82" s="482" t="s">
        <v>2404</v>
      </c>
      <c r="C82" s="490" t="s">
        <v>152</v>
      </c>
      <c r="D82" s="482" t="s">
        <v>119</v>
      </c>
      <c r="E82" s="379">
        <v>5000</v>
      </c>
      <c r="F82" s="358">
        <f t="shared" ref="F82:F114" si="2">E82/G82</f>
        <v>9.3591228330588923</v>
      </c>
      <c r="G82" s="487">
        <v>534.23810000000003</v>
      </c>
      <c r="H82" s="482" t="s">
        <v>643</v>
      </c>
      <c r="I82" s="130" t="s">
        <v>2437</v>
      </c>
      <c r="J82" s="130" t="s">
        <v>98</v>
      </c>
      <c r="K82" s="130" t="s">
        <v>1285</v>
      </c>
      <c r="L82" s="148" t="s">
        <v>155</v>
      </c>
      <c r="M82" s="130"/>
      <c r="N82" s="130"/>
      <c r="O82" s="130"/>
      <c r="P82" s="480"/>
    </row>
    <row r="83" spans="1:16" s="479" customFormat="1" ht="16.5">
      <c r="A83" s="481">
        <v>45854</v>
      </c>
      <c r="B83" s="482" t="s">
        <v>2647</v>
      </c>
      <c r="C83" s="490" t="s">
        <v>152</v>
      </c>
      <c r="D83" s="482" t="s">
        <v>119</v>
      </c>
      <c r="E83" s="379">
        <v>20000</v>
      </c>
      <c r="F83" s="358">
        <f t="shared" si="2"/>
        <v>35.654279561783227</v>
      </c>
      <c r="G83" s="359">
        <v>560.94248000000005</v>
      </c>
      <c r="H83" s="482" t="s">
        <v>153</v>
      </c>
      <c r="I83" s="130" t="s">
        <v>2648</v>
      </c>
      <c r="J83" s="130" t="s">
        <v>98</v>
      </c>
      <c r="K83" s="130" t="s">
        <v>2150</v>
      </c>
      <c r="L83" s="148" t="s">
        <v>155</v>
      </c>
      <c r="M83" s="130"/>
      <c r="N83" s="130"/>
      <c r="O83" s="130"/>
      <c r="P83" s="480"/>
    </row>
    <row r="84" spans="1:16" ht="16.5">
      <c r="A84" s="481">
        <v>45855</v>
      </c>
      <c r="B84" s="321" t="s">
        <v>2355</v>
      </c>
      <c r="C84" s="322" t="s">
        <v>175</v>
      </c>
      <c r="D84" s="323" t="s">
        <v>119</v>
      </c>
      <c r="E84" s="321">
        <v>1000</v>
      </c>
      <c r="F84" s="358">
        <f t="shared" si="2"/>
        <v>1.8718245666117783</v>
      </c>
      <c r="G84" s="487">
        <v>534.23810000000003</v>
      </c>
      <c r="H84" s="325" t="s">
        <v>153</v>
      </c>
      <c r="I84" s="326" t="s">
        <v>2373</v>
      </c>
      <c r="J84" s="130" t="s">
        <v>98</v>
      </c>
      <c r="K84" s="130" t="s">
        <v>1285</v>
      </c>
      <c r="L84" s="148" t="s">
        <v>155</v>
      </c>
      <c r="M84" s="130"/>
      <c r="N84" s="130"/>
      <c r="O84" s="130"/>
      <c r="P84" s="353"/>
    </row>
    <row r="85" spans="1:16" ht="16.5">
      <c r="A85" s="481">
        <v>45855</v>
      </c>
      <c r="B85" s="321" t="s">
        <v>2362</v>
      </c>
      <c r="C85" s="322" t="s">
        <v>175</v>
      </c>
      <c r="D85" s="323" t="s">
        <v>119</v>
      </c>
      <c r="E85" s="321">
        <v>1000</v>
      </c>
      <c r="F85" s="358">
        <f t="shared" si="2"/>
        <v>1.8718245666117783</v>
      </c>
      <c r="G85" s="487">
        <v>534.23810000000003</v>
      </c>
      <c r="H85" s="325" t="s">
        <v>153</v>
      </c>
      <c r="I85" s="326" t="s">
        <v>2373</v>
      </c>
      <c r="J85" s="130" t="s">
        <v>98</v>
      </c>
      <c r="K85" s="130" t="s">
        <v>1285</v>
      </c>
      <c r="L85" s="148" t="s">
        <v>155</v>
      </c>
      <c r="M85" s="130"/>
      <c r="N85" s="130"/>
      <c r="O85" s="130"/>
      <c r="P85" s="353"/>
    </row>
    <row r="86" spans="1:16" ht="16.5">
      <c r="A86" s="481">
        <v>45855</v>
      </c>
      <c r="B86" s="321" t="s">
        <v>2363</v>
      </c>
      <c r="C86" s="322" t="s">
        <v>175</v>
      </c>
      <c r="D86" s="323" t="s">
        <v>119</v>
      </c>
      <c r="E86" s="321">
        <v>1000</v>
      </c>
      <c r="F86" s="358">
        <f t="shared" si="2"/>
        <v>1.8718245666117783</v>
      </c>
      <c r="G86" s="487">
        <v>534.23810000000003</v>
      </c>
      <c r="H86" s="325" t="s">
        <v>153</v>
      </c>
      <c r="I86" s="326" t="s">
        <v>2373</v>
      </c>
      <c r="J86" s="130" t="s">
        <v>98</v>
      </c>
      <c r="K86" s="130" t="s">
        <v>1285</v>
      </c>
      <c r="L86" s="148" t="s">
        <v>155</v>
      </c>
      <c r="M86" s="130"/>
      <c r="N86" s="130"/>
      <c r="O86" s="130"/>
      <c r="P86" s="353"/>
    </row>
    <row r="87" spans="1:16" ht="16.5">
      <c r="A87" s="481">
        <v>45855</v>
      </c>
      <c r="B87" s="321" t="s">
        <v>2356</v>
      </c>
      <c r="C87" s="322" t="s">
        <v>175</v>
      </c>
      <c r="D87" s="323" t="s">
        <v>119</v>
      </c>
      <c r="E87" s="321">
        <v>1000</v>
      </c>
      <c r="F87" s="358">
        <f t="shared" si="2"/>
        <v>1.8718245666117783</v>
      </c>
      <c r="G87" s="487">
        <v>534.23810000000003</v>
      </c>
      <c r="H87" s="325" t="s">
        <v>153</v>
      </c>
      <c r="I87" s="326" t="s">
        <v>2373</v>
      </c>
      <c r="J87" s="130" t="s">
        <v>98</v>
      </c>
      <c r="K87" s="130" t="s">
        <v>1285</v>
      </c>
      <c r="L87" s="148" t="s">
        <v>155</v>
      </c>
      <c r="M87" s="130"/>
      <c r="N87" s="130"/>
      <c r="O87" s="130"/>
      <c r="P87" s="353"/>
    </row>
    <row r="88" spans="1:16" ht="16.5">
      <c r="A88" s="481">
        <v>45855</v>
      </c>
      <c r="B88" s="484" t="s">
        <v>2380</v>
      </c>
      <c r="C88" s="485" t="s">
        <v>175</v>
      </c>
      <c r="D88" s="484" t="s">
        <v>117</v>
      </c>
      <c r="E88" s="485">
        <v>1000</v>
      </c>
      <c r="F88" s="358">
        <f t="shared" si="2"/>
        <v>1.8718245666117783</v>
      </c>
      <c r="G88" s="487">
        <v>534.23810000000003</v>
      </c>
      <c r="H88" s="486" t="s">
        <v>203</v>
      </c>
      <c r="I88" s="335" t="s">
        <v>2387</v>
      </c>
      <c r="J88" s="130" t="s">
        <v>98</v>
      </c>
      <c r="K88" s="130" t="s">
        <v>1285</v>
      </c>
      <c r="L88" s="148" t="s">
        <v>155</v>
      </c>
      <c r="M88" s="130"/>
      <c r="N88" s="130"/>
      <c r="O88" s="130"/>
      <c r="P88" s="353"/>
    </row>
    <row r="89" spans="1:16" ht="16.5">
      <c r="A89" s="481">
        <v>45856</v>
      </c>
      <c r="B89" s="321" t="s">
        <v>2358</v>
      </c>
      <c r="C89" s="322" t="s">
        <v>175</v>
      </c>
      <c r="D89" s="323" t="s">
        <v>119</v>
      </c>
      <c r="E89" s="321">
        <v>1000</v>
      </c>
      <c r="F89" s="358">
        <f t="shared" si="2"/>
        <v>1.8718245666117783</v>
      </c>
      <c r="G89" s="487">
        <v>534.23810000000003</v>
      </c>
      <c r="H89" s="325" t="s">
        <v>153</v>
      </c>
      <c r="I89" s="326" t="s">
        <v>2373</v>
      </c>
      <c r="J89" s="130" t="s">
        <v>98</v>
      </c>
      <c r="K89" s="130" t="s">
        <v>1285</v>
      </c>
      <c r="L89" s="148" t="s">
        <v>155</v>
      </c>
      <c r="M89" s="130"/>
      <c r="N89" s="130"/>
      <c r="O89" s="130"/>
      <c r="P89" s="353"/>
    </row>
    <row r="90" spans="1:16" ht="16.5">
      <c r="A90" s="481">
        <v>45856</v>
      </c>
      <c r="B90" s="321" t="s">
        <v>2364</v>
      </c>
      <c r="C90" s="322" t="s">
        <v>175</v>
      </c>
      <c r="D90" s="323" t="s">
        <v>119</v>
      </c>
      <c r="E90" s="321">
        <v>1000</v>
      </c>
      <c r="F90" s="358">
        <f t="shared" si="2"/>
        <v>1.8718245666117783</v>
      </c>
      <c r="G90" s="487">
        <v>534.23810000000003</v>
      </c>
      <c r="H90" s="325" t="s">
        <v>153</v>
      </c>
      <c r="I90" s="326" t="s">
        <v>2373</v>
      </c>
      <c r="J90" s="130" t="s">
        <v>98</v>
      </c>
      <c r="K90" s="130" t="s">
        <v>1285</v>
      </c>
      <c r="L90" s="148" t="s">
        <v>155</v>
      </c>
      <c r="M90" s="130"/>
      <c r="N90" s="130"/>
      <c r="O90" s="130"/>
      <c r="P90" s="353"/>
    </row>
    <row r="91" spans="1:16" ht="16.5">
      <c r="A91" s="481">
        <v>45856</v>
      </c>
      <c r="B91" s="321" t="s">
        <v>2365</v>
      </c>
      <c r="C91" s="322" t="s">
        <v>175</v>
      </c>
      <c r="D91" s="323" t="s">
        <v>119</v>
      </c>
      <c r="E91" s="321">
        <v>1000</v>
      </c>
      <c r="F91" s="358">
        <f t="shared" si="2"/>
        <v>1.8718245666117783</v>
      </c>
      <c r="G91" s="487">
        <v>534.23810000000003</v>
      </c>
      <c r="H91" s="325" t="s">
        <v>153</v>
      </c>
      <c r="I91" s="326" t="s">
        <v>2373</v>
      </c>
      <c r="J91" s="130" t="s">
        <v>98</v>
      </c>
      <c r="K91" s="130" t="s">
        <v>1285</v>
      </c>
      <c r="L91" s="148" t="s">
        <v>155</v>
      </c>
      <c r="M91" s="130"/>
      <c r="N91" s="130"/>
      <c r="O91" s="130"/>
      <c r="P91" s="353"/>
    </row>
    <row r="92" spans="1:16" ht="16.5">
      <c r="A92" s="481">
        <v>45856</v>
      </c>
      <c r="B92" s="321" t="s">
        <v>2366</v>
      </c>
      <c r="C92" s="322" t="s">
        <v>175</v>
      </c>
      <c r="D92" s="323" t="s">
        <v>119</v>
      </c>
      <c r="E92" s="321">
        <v>1000</v>
      </c>
      <c r="F92" s="358">
        <f t="shared" si="2"/>
        <v>1.8718245666117783</v>
      </c>
      <c r="G92" s="491">
        <v>534.23810000000003</v>
      </c>
      <c r="H92" s="325" t="s">
        <v>153</v>
      </c>
      <c r="I92" s="326" t="s">
        <v>2373</v>
      </c>
      <c r="J92" s="130" t="s">
        <v>98</v>
      </c>
      <c r="K92" s="130" t="s">
        <v>1285</v>
      </c>
      <c r="L92" s="148" t="s">
        <v>155</v>
      </c>
      <c r="M92" s="130"/>
      <c r="N92" s="130"/>
      <c r="O92" s="130"/>
      <c r="P92" s="353"/>
    </row>
    <row r="93" spans="1:16" ht="16.5">
      <c r="A93" s="481">
        <v>45856</v>
      </c>
      <c r="B93" s="321" t="s">
        <v>2367</v>
      </c>
      <c r="C93" s="322" t="s">
        <v>175</v>
      </c>
      <c r="D93" s="323" t="s">
        <v>119</v>
      </c>
      <c r="E93" s="321">
        <v>1000</v>
      </c>
      <c r="F93" s="358">
        <f t="shared" si="2"/>
        <v>1.8718245666117783</v>
      </c>
      <c r="G93" s="491">
        <v>534.23810000000003</v>
      </c>
      <c r="H93" s="325" t="s">
        <v>153</v>
      </c>
      <c r="I93" s="326" t="s">
        <v>2373</v>
      </c>
      <c r="J93" s="130" t="s">
        <v>98</v>
      </c>
      <c r="K93" s="130" t="s">
        <v>1285</v>
      </c>
      <c r="L93" s="148" t="s">
        <v>155</v>
      </c>
      <c r="M93" s="130"/>
      <c r="N93" s="130"/>
      <c r="O93" s="130"/>
      <c r="P93" s="353"/>
    </row>
    <row r="94" spans="1:16" ht="16.5">
      <c r="A94" s="481">
        <v>45856</v>
      </c>
      <c r="B94" s="321" t="s">
        <v>2356</v>
      </c>
      <c r="C94" s="322" t="s">
        <v>175</v>
      </c>
      <c r="D94" s="323" t="s">
        <v>119</v>
      </c>
      <c r="E94" s="321">
        <v>1000</v>
      </c>
      <c r="F94" s="358">
        <f t="shared" si="2"/>
        <v>1.8718245666117783</v>
      </c>
      <c r="G94" s="491">
        <v>534.23810000000003</v>
      </c>
      <c r="H94" s="325" t="s">
        <v>153</v>
      </c>
      <c r="I94" s="326" t="s">
        <v>2373</v>
      </c>
      <c r="J94" s="130" t="s">
        <v>98</v>
      </c>
      <c r="K94" s="130" t="s">
        <v>1285</v>
      </c>
      <c r="L94" s="148" t="s">
        <v>155</v>
      </c>
      <c r="M94" s="130"/>
      <c r="N94" s="130"/>
      <c r="O94" s="130"/>
    </row>
    <row r="95" spans="1:16" ht="16.5">
      <c r="A95" s="481">
        <v>45859</v>
      </c>
      <c r="B95" s="321" t="s">
        <v>2355</v>
      </c>
      <c r="C95" s="322" t="s">
        <v>175</v>
      </c>
      <c r="D95" s="323" t="s">
        <v>119</v>
      </c>
      <c r="E95" s="321">
        <v>1000</v>
      </c>
      <c r="F95" s="358">
        <f t="shared" si="2"/>
        <v>1.8718245666117783</v>
      </c>
      <c r="G95" s="491">
        <v>534.23810000000003</v>
      </c>
      <c r="H95" s="325" t="s">
        <v>153</v>
      </c>
      <c r="I95" s="326" t="s">
        <v>2373</v>
      </c>
      <c r="J95" s="130" t="s">
        <v>98</v>
      </c>
      <c r="K95" s="130" t="s">
        <v>1285</v>
      </c>
      <c r="L95" s="148" t="s">
        <v>155</v>
      </c>
      <c r="M95" s="130"/>
      <c r="N95" s="130"/>
      <c r="O95" s="130"/>
    </row>
    <row r="96" spans="1:16" ht="16.5">
      <c r="A96" s="481">
        <v>45859</v>
      </c>
      <c r="B96" s="321" t="s">
        <v>2356</v>
      </c>
      <c r="C96" s="322" t="s">
        <v>175</v>
      </c>
      <c r="D96" s="323" t="s">
        <v>119</v>
      </c>
      <c r="E96" s="321">
        <v>1000</v>
      </c>
      <c r="F96" s="358">
        <f t="shared" si="2"/>
        <v>1.8718245666117783</v>
      </c>
      <c r="G96" s="491">
        <v>534.23810000000003</v>
      </c>
      <c r="H96" s="325" t="s">
        <v>153</v>
      </c>
      <c r="I96" s="326" t="s">
        <v>2373</v>
      </c>
      <c r="J96" s="130" t="s">
        <v>98</v>
      </c>
      <c r="K96" s="130" t="s">
        <v>1285</v>
      </c>
      <c r="L96" s="148" t="s">
        <v>155</v>
      </c>
      <c r="M96" s="130"/>
      <c r="N96" s="130"/>
      <c r="O96" s="130"/>
    </row>
    <row r="97" spans="1:15" ht="16.5">
      <c r="A97" s="481">
        <v>45859</v>
      </c>
      <c r="B97" s="482" t="s">
        <v>2454</v>
      </c>
      <c r="C97" s="482" t="s">
        <v>175</v>
      </c>
      <c r="D97" s="482" t="s">
        <v>117</v>
      </c>
      <c r="E97" s="379">
        <v>2000</v>
      </c>
      <c r="F97" s="358">
        <f t="shared" si="2"/>
        <v>3.7436491332235566</v>
      </c>
      <c r="G97" s="491">
        <v>534.23810000000003</v>
      </c>
      <c r="H97" s="482" t="s">
        <v>193</v>
      </c>
      <c r="I97" s="130" t="s">
        <v>2462</v>
      </c>
      <c r="J97" s="130" t="s">
        <v>98</v>
      </c>
      <c r="K97" s="130" t="s">
        <v>1285</v>
      </c>
      <c r="L97" s="148" t="s">
        <v>155</v>
      </c>
      <c r="M97" s="130"/>
      <c r="N97" s="130"/>
      <c r="O97" s="130"/>
    </row>
    <row r="98" spans="1:15" ht="16.5">
      <c r="A98" s="481">
        <v>45859</v>
      </c>
      <c r="B98" s="482" t="s">
        <v>2455</v>
      </c>
      <c r="C98" s="482" t="s">
        <v>175</v>
      </c>
      <c r="D98" s="482" t="s">
        <v>117</v>
      </c>
      <c r="E98" s="379">
        <v>1500</v>
      </c>
      <c r="F98" s="358">
        <f t="shared" si="2"/>
        <v>2.8077368499176676</v>
      </c>
      <c r="G98" s="491">
        <v>534.23810000000003</v>
      </c>
      <c r="H98" s="482" t="s">
        <v>193</v>
      </c>
      <c r="I98" s="130" t="s">
        <v>2462</v>
      </c>
      <c r="J98" s="130" t="s">
        <v>98</v>
      </c>
      <c r="K98" s="130" t="s">
        <v>1285</v>
      </c>
      <c r="L98" s="148" t="s">
        <v>155</v>
      </c>
      <c r="M98" s="130"/>
      <c r="N98" s="130"/>
      <c r="O98" s="130"/>
    </row>
    <row r="99" spans="1:15" ht="16.5">
      <c r="A99" s="481">
        <v>45859</v>
      </c>
      <c r="B99" s="482" t="s">
        <v>2456</v>
      </c>
      <c r="C99" s="482" t="s">
        <v>175</v>
      </c>
      <c r="D99" s="482" t="s">
        <v>117</v>
      </c>
      <c r="E99" s="379">
        <v>1500</v>
      </c>
      <c r="F99" s="358">
        <f t="shared" si="2"/>
        <v>2.8077368499176676</v>
      </c>
      <c r="G99" s="491">
        <v>534.23810000000003</v>
      </c>
      <c r="H99" s="482" t="s">
        <v>193</v>
      </c>
      <c r="I99" s="130" t="s">
        <v>2462</v>
      </c>
      <c r="J99" s="130" t="s">
        <v>98</v>
      </c>
      <c r="K99" s="130" t="s">
        <v>1285</v>
      </c>
      <c r="L99" s="148" t="s">
        <v>155</v>
      </c>
      <c r="M99" s="130"/>
      <c r="N99" s="130"/>
      <c r="O99" s="130"/>
    </row>
    <row r="100" spans="1:15" ht="16.5">
      <c r="A100" s="481">
        <v>45859</v>
      </c>
      <c r="B100" s="482" t="s">
        <v>2457</v>
      </c>
      <c r="C100" s="482" t="s">
        <v>175</v>
      </c>
      <c r="D100" s="482" t="s">
        <v>117</v>
      </c>
      <c r="E100" s="379">
        <v>2000</v>
      </c>
      <c r="F100" s="358">
        <f t="shared" si="2"/>
        <v>3.7436491332235566</v>
      </c>
      <c r="G100" s="491">
        <v>534.23810000000003</v>
      </c>
      <c r="H100" s="482" t="s">
        <v>193</v>
      </c>
      <c r="I100" s="130" t="s">
        <v>2462</v>
      </c>
      <c r="J100" s="130" t="s">
        <v>98</v>
      </c>
      <c r="K100" s="130" t="s">
        <v>1285</v>
      </c>
      <c r="L100" s="148" t="s">
        <v>155</v>
      </c>
      <c r="M100" s="130"/>
      <c r="N100" s="130"/>
      <c r="O100" s="130"/>
    </row>
    <row r="101" spans="1:15" ht="16.5">
      <c r="A101" s="481">
        <v>45859</v>
      </c>
      <c r="B101" s="482" t="s">
        <v>2458</v>
      </c>
      <c r="C101" s="482" t="s">
        <v>175</v>
      </c>
      <c r="D101" s="482" t="s">
        <v>117</v>
      </c>
      <c r="E101" s="379">
        <v>2000</v>
      </c>
      <c r="F101" s="358">
        <f t="shared" si="2"/>
        <v>3.7436491332235566</v>
      </c>
      <c r="G101" s="491">
        <v>534.23810000000003</v>
      </c>
      <c r="H101" s="482" t="s">
        <v>193</v>
      </c>
      <c r="I101" s="130" t="s">
        <v>2462</v>
      </c>
      <c r="J101" s="130" t="s">
        <v>98</v>
      </c>
      <c r="K101" s="130" t="s">
        <v>1285</v>
      </c>
      <c r="L101" s="148" t="s">
        <v>155</v>
      </c>
      <c r="M101" s="130"/>
      <c r="N101" s="130"/>
      <c r="O101" s="130"/>
    </row>
    <row r="102" spans="1:15" ht="16.5">
      <c r="A102" s="481">
        <v>45859</v>
      </c>
      <c r="B102" s="482" t="s">
        <v>2459</v>
      </c>
      <c r="C102" s="482" t="s">
        <v>175</v>
      </c>
      <c r="D102" s="482" t="s">
        <v>117</v>
      </c>
      <c r="E102" s="379">
        <v>1000</v>
      </c>
      <c r="F102" s="358">
        <f t="shared" si="2"/>
        <v>1.8718245666117783</v>
      </c>
      <c r="G102" s="491">
        <v>534.23810000000003</v>
      </c>
      <c r="H102" s="482" t="s">
        <v>193</v>
      </c>
      <c r="I102" s="130" t="s">
        <v>2462</v>
      </c>
      <c r="J102" s="130" t="s">
        <v>98</v>
      </c>
      <c r="K102" s="130" t="s">
        <v>1285</v>
      </c>
      <c r="L102" s="148" t="s">
        <v>155</v>
      </c>
      <c r="M102" s="130"/>
      <c r="N102" s="130"/>
      <c r="O102" s="130"/>
    </row>
    <row r="103" spans="1:15" ht="16.5">
      <c r="A103" s="481">
        <v>45859</v>
      </c>
      <c r="B103" s="482" t="s">
        <v>931</v>
      </c>
      <c r="C103" s="482" t="s">
        <v>172</v>
      </c>
      <c r="D103" s="482" t="s">
        <v>118</v>
      </c>
      <c r="E103" s="379">
        <v>31250</v>
      </c>
      <c r="F103" s="358">
        <f t="shared" si="2"/>
        <v>58.494517706618076</v>
      </c>
      <c r="G103" s="491">
        <v>534.23810000000003</v>
      </c>
      <c r="H103" s="266" t="s">
        <v>193</v>
      </c>
      <c r="I103" s="132" t="s">
        <v>2463</v>
      </c>
      <c r="J103" s="130" t="s">
        <v>98</v>
      </c>
      <c r="K103" s="130" t="s">
        <v>1285</v>
      </c>
      <c r="L103" s="148" t="s">
        <v>155</v>
      </c>
      <c r="M103" s="130"/>
      <c r="N103" s="130"/>
      <c r="O103" s="130"/>
    </row>
    <row r="104" spans="1:15" ht="16.5">
      <c r="A104" s="481">
        <v>45859</v>
      </c>
      <c r="B104" s="185" t="s">
        <v>2473</v>
      </c>
      <c r="C104" s="185" t="s">
        <v>175</v>
      </c>
      <c r="D104" s="185" t="s">
        <v>117</v>
      </c>
      <c r="E104" s="379">
        <v>2000</v>
      </c>
      <c r="F104" s="358">
        <f t="shared" si="2"/>
        <v>3.7436491332235566</v>
      </c>
      <c r="G104" s="491">
        <v>534.23810000000003</v>
      </c>
      <c r="H104" s="185" t="s">
        <v>196</v>
      </c>
      <c r="I104" s="185" t="s">
        <v>2480</v>
      </c>
      <c r="J104" s="130" t="s">
        <v>98</v>
      </c>
      <c r="K104" s="130" t="s">
        <v>1285</v>
      </c>
      <c r="L104" s="148" t="s">
        <v>155</v>
      </c>
      <c r="M104" s="130"/>
      <c r="N104" s="130"/>
      <c r="O104" s="130"/>
    </row>
    <row r="105" spans="1:15" ht="16.5">
      <c r="A105" s="481">
        <v>45859</v>
      </c>
      <c r="B105" s="185" t="s">
        <v>2474</v>
      </c>
      <c r="C105" s="185" t="s">
        <v>175</v>
      </c>
      <c r="D105" s="185" t="s">
        <v>117</v>
      </c>
      <c r="E105" s="379">
        <v>2000</v>
      </c>
      <c r="F105" s="358">
        <f t="shared" si="2"/>
        <v>3.7436491332235566</v>
      </c>
      <c r="G105" s="491">
        <v>534.23810000000003</v>
      </c>
      <c r="H105" s="185" t="s">
        <v>196</v>
      </c>
      <c r="I105" s="185" t="s">
        <v>2480</v>
      </c>
      <c r="J105" s="130" t="s">
        <v>98</v>
      </c>
      <c r="K105" s="130" t="s">
        <v>1285</v>
      </c>
      <c r="L105" s="148" t="s">
        <v>155</v>
      </c>
      <c r="M105" s="130"/>
      <c r="N105" s="130"/>
      <c r="O105" s="130"/>
    </row>
    <row r="106" spans="1:15" ht="16.5">
      <c r="A106" s="481">
        <v>45859</v>
      </c>
      <c r="B106" s="185" t="s">
        <v>2475</v>
      </c>
      <c r="C106" s="185" t="s">
        <v>175</v>
      </c>
      <c r="D106" s="185" t="s">
        <v>117</v>
      </c>
      <c r="E106" s="379">
        <v>3000</v>
      </c>
      <c r="F106" s="358">
        <f t="shared" si="2"/>
        <v>5.6154736998353352</v>
      </c>
      <c r="G106" s="491">
        <v>534.23810000000003</v>
      </c>
      <c r="H106" s="185" t="s">
        <v>196</v>
      </c>
      <c r="I106" s="185" t="s">
        <v>2480</v>
      </c>
      <c r="J106" s="130" t="s">
        <v>98</v>
      </c>
      <c r="K106" s="130" t="s">
        <v>1285</v>
      </c>
      <c r="L106" s="148" t="s">
        <v>155</v>
      </c>
      <c r="M106" s="130"/>
      <c r="N106" s="130"/>
      <c r="O106" s="130"/>
    </row>
    <row r="107" spans="1:15" ht="16.5">
      <c r="A107" s="481">
        <v>45859</v>
      </c>
      <c r="B107" s="185" t="s">
        <v>931</v>
      </c>
      <c r="C107" s="185" t="s">
        <v>172</v>
      </c>
      <c r="D107" s="482" t="s">
        <v>118</v>
      </c>
      <c r="E107" s="379">
        <v>31250</v>
      </c>
      <c r="F107" s="358">
        <f t="shared" si="2"/>
        <v>58.494517706618076</v>
      </c>
      <c r="G107" s="491">
        <v>534.23810000000003</v>
      </c>
      <c r="H107" s="266" t="s">
        <v>196</v>
      </c>
      <c r="I107" s="266" t="s">
        <v>2482</v>
      </c>
      <c r="J107" s="130" t="s">
        <v>98</v>
      </c>
      <c r="K107" s="130" t="s">
        <v>1285</v>
      </c>
      <c r="L107" s="148" t="s">
        <v>155</v>
      </c>
      <c r="M107" s="130"/>
      <c r="N107" s="130"/>
      <c r="O107" s="130"/>
    </row>
    <row r="108" spans="1:15" ht="16.5">
      <c r="A108" s="481">
        <v>45860</v>
      </c>
      <c r="B108" s="321" t="s">
        <v>2355</v>
      </c>
      <c r="C108" s="322" t="s">
        <v>175</v>
      </c>
      <c r="D108" s="323" t="s">
        <v>119</v>
      </c>
      <c r="E108" s="321">
        <v>1000</v>
      </c>
      <c r="F108" s="358">
        <f t="shared" si="2"/>
        <v>1.8718245666117783</v>
      </c>
      <c r="G108" s="491">
        <v>534.23810000000003</v>
      </c>
      <c r="H108" s="325" t="s">
        <v>153</v>
      </c>
      <c r="I108" s="326" t="s">
        <v>2373</v>
      </c>
      <c r="J108" s="130" t="s">
        <v>98</v>
      </c>
      <c r="K108" s="130" t="s">
        <v>1285</v>
      </c>
      <c r="L108" s="148" t="s">
        <v>155</v>
      </c>
      <c r="M108" s="130"/>
      <c r="N108" s="130"/>
      <c r="O108" s="130"/>
    </row>
    <row r="109" spans="1:15" s="357" customFormat="1" ht="16.5">
      <c r="A109" s="481">
        <v>45860</v>
      </c>
      <c r="B109" s="321" t="s">
        <v>2368</v>
      </c>
      <c r="C109" s="322" t="s">
        <v>175</v>
      </c>
      <c r="D109" s="323" t="s">
        <v>119</v>
      </c>
      <c r="E109" s="321">
        <v>1000</v>
      </c>
      <c r="F109" s="358">
        <f t="shared" si="2"/>
        <v>1.8718245666117783</v>
      </c>
      <c r="G109" s="491">
        <v>534.23810000000003</v>
      </c>
      <c r="H109" s="325" t="s">
        <v>153</v>
      </c>
      <c r="I109" s="326" t="s">
        <v>2373</v>
      </c>
      <c r="J109" s="130" t="s">
        <v>98</v>
      </c>
      <c r="K109" s="130" t="s">
        <v>1285</v>
      </c>
      <c r="L109" s="148" t="s">
        <v>155</v>
      </c>
      <c r="M109" s="130"/>
      <c r="N109" s="130"/>
      <c r="O109" s="130"/>
    </row>
    <row r="110" spans="1:15" ht="16.5">
      <c r="A110" s="481">
        <v>45860</v>
      </c>
      <c r="B110" s="482" t="s">
        <v>2405</v>
      </c>
      <c r="C110" s="482" t="s">
        <v>175</v>
      </c>
      <c r="D110" s="482" t="s">
        <v>118</v>
      </c>
      <c r="E110" s="379">
        <v>1000</v>
      </c>
      <c r="F110" s="358">
        <f t="shared" si="2"/>
        <v>1.8718245666117783</v>
      </c>
      <c r="G110" s="491">
        <v>534.23810000000003</v>
      </c>
      <c r="H110" s="482" t="s">
        <v>643</v>
      </c>
      <c r="I110" s="130" t="s">
        <v>2434</v>
      </c>
      <c r="J110" s="130" t="s">
        <v>98</v>
      </c>
      <c r="K110" s="130" t="s">
        <v>1285</v>
      </c>
      <c r="L110" s="148" t="s">
        <v>155</v>
      </c>
      <c r="M110" s="130"/>
      <c r="N110" s="130"/>
      <c r="O110" s="130"/>
    </row>
    <row r="111" spans="1:15" ht="16.5">
      <c r="A111" s="481">
        <v>45860</v>
      </c>
      <c r="B111" s="482" t="s">
        <v>2406</v>
      </c>
      <c r="C111" s="482" t="s">
        <v>175</v>
      </c>
      <c r="D111" s="482" t="s">
        <v>118</v>
      </c>
      <c r="E111" s="379">
        <v>1000</v>
      </c>
      <c r="F111" s="358">
        <f t="shared" si="2"/>
        <v>1.8718245666117783</v>
      </c>
      <c r="G111" s="491">
        <v>534.23810000000003</v>
      </c>
      <c r="H111" s="482" t="s">
        <v>643</v>
      </c>
      <c r="I111" s="130" t="s">
        <v>2434</v>
      </c>
      <c r="J111" s="130" t="s">
        <v>98</v>
      </c>
      <c r="K111" s="130" t="s">
        <v>1285</v>
      </c>
      <c r="L111" s="148" t="s">
        <v>155</v>
      </c>
      <c r="M111" s="130"/>
      <c r="N111" s="130"/>
      <c r="O111" s="130"/>
    </row>
    <row r="112" spans="1:15" ht="16.5">
      <c r="A112" s="481">
        <v>45860</v>
      </c>
      <c r="B112" s="482" t="s">
        <v>2407</v>
      </c>
      <c r="C112" s="482" t="s">
        <v>175</v>
      </c>
      <c r="D112" s="482" t="s">
        <v>118</v>
      </c>
      <c r="E112" s="379">
        <v>1000</v>
      </c>
      <c r="F112" s="358">
        <f t="shared" si="2"/>
        <v>1.8718245666117783</v>
      </c>
      <c r="G112" s="491">
        <v>534.23810000000003</v>
      </c>
      <c r="H112" s="482" t="s">
        <v>643</v>
      </c>
      <c r="I112" s="130" t="s">
        <v>2434</v>
      </c>
      <c r="J112" s="130" t="s">
        <v>98</v>
      </c>
      <c r="K112" s="130" t="s">
        <v>1285</v>
      </c>
      <c r="L112" s="148" t="s">
        <v>155</v>
      </c>
      <c r="M112" s="130"/>
      <c r="N112" s="130"/>
      <c r="O112" s="130"/>
    </row>
    <row r="113" spans="1:15" ht="16.5">
      <c r="A113" s="481">
        <v>45860</v>
      </c>
      <c r="B113" s="482" t="s">
        <v>2408</v>
      </c>
      <c r="C113" s="482" t="s">
        <v>175</v>
      </c>
      <c r="D113" s="482" t="s">
        <v>118</v>
      </c>
      <c r="E113" s="379">
        <v>1000</v>
      </c>
      <c r="F113" s="358">
        <f t="shared" si="2"/>
        <v>1.8718245666117783</v>
      </c>
      <c r="G113" s="491">
        <v>534.23810000000003</v>
      </c>
      <c r="H113" s="482" t="s">
        <v>643</v>
      </c>
      <c r="I113" s="130" t="s">
        <v>2434</v>
      </c>
      <c r="J113" s="130" t="s">
        <v>98</v>
      </c>
      <c r="K113" s="130" t="s">
        <v>1285</v>
      </c>
      <c r="L113" s="148" t="s">
        <v>155</v>
      </c>
      <c r="M113" s="130"/>
      <c r="N113" s="130"/>
      <c r="O113" s="130"/>
    </row>
    <row r="114" spans="1:15" ht="16.5">
      <c r="A114" s="481">
        <v>45860</v>
      </c>
      <c r="B114" s="482" t="s">
        <v>2409</v>
      </c>
      <c r="C114" s="482" t="s">
        <v>175</v>
      </c>
      <c r="D114" s="482" t="s">
        <v>118</v>
      </c>
      <c r="E114" s="379">
        <v>1000</v>
      </c>
      <c r="F114" s="358">
        <f t="shared" si="2"/>
        <v>1.8718245666117783</v>
      </c>
      <c r="G114" s="491">
        <v>534.23810000000003</v>
      </c>
      <c r="H114" s="482" t="s">
        <v>643</v>
      </c>
      <c r="I114" s="130" t="s">
        <v>2434</v>
      </c>
      <c r="J114" s="130" t="s">
        <v>98</v>
      </c>
      <c r="K114" s="130" t="s">
        <v>1285</v>
      </c>
      <c r="L114" s="148" t="s">
        <v>155</v>
      </c>
      <c r="M114" s="380"/>
      <c r="N114" s="380"/>
      <c r="O114" s="130"/>
    </row>
    <row r="115" spans="1:15" ht="16.5">
      <c r="A115" s="481">
        <v>45860</v>
      </c>
      <c r="B115" s="185" t="s">
        <v>2486</v>
      </c>
      <c r="C115" s="185" t="s">
        <v>152</v>
      </c>
      <c r="D115" s="185" t="s">
        <v>117</v>
      </c>
      <c r="E115" s="262">
        <v>5000</v>
      </c>
      <c r="F115" s="358">
        <f t="shared" ref="F115:F119" si="3">E115/G115</f>
        <v>9.3591228330588923</v>
      </c>
      <c r="G115" s="491">
        <v>534.23810000000003</v>
      </c>
      <c r="H115" s="261" t="s">
        <v>497</v>
      </c>
      <c r="I115" s="185" t="s">
        <v>2500</v>
      </c>
      <c r="J115" s="130" t="s">
        <v>98</v>
      </c>
      <c r="K115" s="130" t="s">
        <v>1285</v>
      </c>
      <c r="L115" s="148" t="s">
        <v>155</v>
      </c>
      <c r="M115" s="130"/>
      <c r="N115" s="130"/>
      <c r="O115" s="130"/>
    </row>
    <row r="116" spans="1:15" ht="16.5">
      <c r="A116" s="481">
        <v>45860</v>
      </c>
      <c r="B116" s="185" t="s">
        <v>2487</v>
      </c>
      <c r="C116" s="261" t="s">
        <v>199</v>
      </c>
      <c r="D116" s="261" t="s">
        <v>117</v>
      </c>
      <c r="E116" s="262">
        <v>1000</v>
      </c>
      <c r="F116" s="358">
        <f t="shared" si="3"/>
        <v>1.8718245666117783</v>
      </c>
      <c r="G116" s="491">
        <v>534.23810000000003</v>
      </c>
      <c r="H116" s="261" t="s">
        <v>497</v>
      </c>
      <c r="I116" s="185" t="s">
        <v>2501</v>
      </c>
      <c r="J116" s="130" t="s">
        <v>98</v>
      </c>
      <c r="K116" s="130" t="s">
        <v>1285</v>
      </c>
      <c r="L116" s="148" t="s">
        <v>155</v>
      </c>
      <c r="M116" s="130"/>
      <c r="N116" s="130"/>
      <c r="O116" s="130"/>
    </row>
    <row r="117" spans="1:15" ht="16.5">
      <c r="A117" s="481">
        <v>45860</v>
      </c>
      <c r="B117" s="185" t="s">
        <v>1574</v>
      </c>
      <c r="C117" s="261" t="s">
        <v>199</v>
      </c>
      <c r="D117" s="261" t="s">
        <v>117</v>
      </c>
      <c r="E117" s="262">
        <v>7000</v>
      </c>
      <c r="F117" s="358">
        <f t="shared" si="3"/>
        <v>13.102771966282448</v>
      </c>
      <c r="G117" s="491">
        <v>534.23810000000003</v>
      </c>
      <c r="H117" s="261" t="s">
        <v>497</v>
      </c>
      <c r="I117" s="185" t="s">
        <v>2502</v>
      </c>
      <c r="J117" s="130" t="s">
        <v>98</v>
      </c>
      <c r="K117" s="130" t="s">
        <v>1285</v>
      </c>
      <c r="L117" s="148" t="s">
        <v>155</v>
      </c>
      <c r="M117" s="130"/>
      <c r="N117" s="130"/>
      <c r="O117" s="130"/>
    </row>
    <row r="118" spans="1:15" ht="16.5">
      <c r="A118" s="481">
        <v>45860</v>
      </c>
      <c r="B118" s="185" t="s">
        <v>2488</v>
      </c>
      <c r="C118" s="261" t="s">
        <v>199</v>
      </c>
      <c r="D118" s="261" t="s">
        <v>117</v>
      </c>
      <c r="E118" s="262">
        <v>1000</v>
      </c>
      <c r="F118" s="358">
        <f t="shared" si="3"/>
        <v>1.8718245666117783</v>
      </c>
      <c r="G118" s="491">
        <v>534.23810000000003</v>
      </c>
      <c r="H118" s="261" t="s">
        <v>497</v>
      </c>
      <c r="I118" s="185" t="s">
        <v>2501</v>
      </c>
      <c r="J118" s="130" t="s">
        <v>98</v>
      </c>
      <c r="K118" s="130" t="s">
        <v>1285</v>
      </c>
      <c r="L118" s="148" t="s">
        <v>155</v>
      </c>
      <c r="M118" s="130"/>
      <c r="N118" s="130"/>
      <c r="O118" s="130"/>
    </row>
    <row r="119" spans="1:15" ht="16.5">
      <c r="A119" s="481">
        <v>45860</v>
      </c>
      <c r="B119" s="482" t="s">
        <v>2508</v>
      </c>
      <c r="C119" s="185" t="s">
        <v>175</v>
      </c>
      <c r="D119" s="492" t="s">
        <v>120</v>
      </c>
      <c r="E119" s="490">
        <v>1000</v>
      </c>
      <c r="F119" s="358">
        <f t="shared" si="3"/>
        <v>1.8718245666117783</v>
      </c>
      <c r="G119" s="491">
        <v>534.23810000000003</v>
      </c>
      <c r="H119" s="482" t="s">
        <v>217</v>
      </c>
      <c r="I119" s="130" t="s">
        <v>2523</v>
      </c>
      <c r="J119" s="130" t="s">
        <v>98</v>
      </c>
      <c r="K119" s="130" t="s">
        <v>1285</v>
      </c>
      <c r="L119" s="148" t="s">
        <v>155</v>
      </c>
      <c r="M119" s="130"/>
      <c r="N119" s="130"/>
      <c r="O119" s="130"/>
    </row>
    <row r="120" spans="1:15" ht="16.5">
      <c r="A120" s="481">
        <v>45860</v>
      </c>
      <c r="B120" s="404" t="s">
        <v>2584</v>
      </c>
      <c r="C120" s="183" t="s">
        <v>125</v>
      </c>
      <c r="D120" s="183"/>
      <c r="E120" s="478"/>
      <c r="F120" s="358"/>
      <c r="G120" s="493">
        <f>+M120/N120</f>
        <v>537.75419999999997</v>
      </c>
      <c r="H120" s="482" t="s">
        <v>148</v>
      </c>
      <c r="I120" s="130" t="s">
        <v>2612</v>
      </c>
      <c r="J120" s="130" t="s">
        <v>98</v>
      </c>
      <c r="K120" s="130" t="s">
        <v>2638</v>
      </c>
      <c r="L120" s="148" t="s">
        <v>155</v>
      </c>
      <c r="M120" s="380">
        <v>5377542</v>
      </c>
      <c r="N120" s="130">
        <v>10000</v>
      </c>
      <c r="O120" s="130"/>
    </row>
    <row r="121" spans="1:15" ht="16.5">
      <c r="A121" s="481">
        <v>45861</v>
      </c>
      <c r="B121" s="321" t="s">
        <v>2355</v>
      </c>
      <c r="C121" s="322" t="s">
        <v>175</v>
      </c>
      <c r="D121" s="323" t="s">
        <v>119</v>
      </c>
      <c r="E121" s="321">
        <v>1000</v>
      </c>
      <c r="F121" s="358">
        <f t="shared" ref="F121:F152" si="4">E121/G121</f>
        <v>1.8595856619994786</v>
      </c>
      <c r="G121" s="491">
        <v>537.75419999999997</v>
      </c>
      <c r="H121" s="325" t="s">
        <v>153</v>
      </c>
      <c r="I121" s="326" t="s">
        <v>2373</v>
      </c>
      <c r="J121" s="130" t="s">
        <v>98</v>
      </c>
      <c r="K121" s="130" t="s">
        <v>2638</v>
      </c>
      <c r="L121" s="148" t="s">
        <v>155</v>
      </c>
      <c r="M121" s="130"/>
      <c r="N121" s="130"/>
      <c r="O121" s="130"/>
    </row>
    <row r="122" spans="1:15" ht="16.5">
      <c r="A122" s="481">
        <v>45861</v>
      </c>
      <c r="B122" s="321" t="s">
        <v>2356</v>
      </c>
      <c r="C122" s="322" t="s">
        <v>175</v>
      </c>
      <c r="D122" s="323" t="s">
        <v>119</v>
      </c>
      <c r="E122" s="321">
        <v>1000</v>
      </c>
      <c r="F122" s="358">
        <f t="shared" si="4"/>
        <v>1.8595856619994786</v>
      </c>
      <c r="G122" s="491">
        <v>537.75419999999997</v>
      </c>
      <c r="H122" s="325" t="s">
        <v>153</v>
      </c>
      <c r="I122" s="326" t="s">
        <v>2373</v>
      </c>
      <c r="J122" s="130" t="s">
        <v>98</v>
      </c>
      <c r="K122" s="130" t="s">
        <v>2638</v>
      </c>
      <c r="L122" s="148" t="s">
        <v>155</v>
      </c>
      <c r="M122" s="130"/>
      <c r="N122" s="130"/>
      <c r="O122" s="130"/>
    </row>
    <row r="123" spans="1:15" ht="16.5">
      <c r="A123" s="481">
        <v>45861</v>
      </c>
      <c r="B123" s="185" t="s">
        <v>2489</v>
      </c>
      <c r="C123" s="261" t="s">
        <v>199</v>
      </c>
      <c r="D123" s="261" t="s">
        <v>117</v>
      </c>
      <c r="E123" s="262">
        <v>1000</v>
      </c>
      <c r="F123" s="358">
        <f t="shared" si="4"/>
        <v>1.8595856619994786</v>
      </c>
      <c r="G123" s="491">
        <v>537.75419999999997</v>
      </c>
      <c r="H123" s="261" t="s">
        <v>497</v>
      </c>
      <c r="I123" s="185" t="s">
        <v>2501</v>
      </c>
      <c r="J123" s="130" t="s">
        <v>98</v>
      </c>
      <c r="K123" s="130" t="s">
        <v>2638</v>
      </c>
      <c r="L123" s="148" t="s">
        <v>155</v>
      </c>
      <c r="M123" s="130"/>
      <c r="N123" s="130"/>
      <c r="O123" s="130"/>
    </row>
    <row r="124" spans="1:15" ht="16.5">
      <c r="A124" s="481">
        <v>45861</v>
      </c>
      <c r="B124" s="185" t="s">
        <v>2490</v>
      </c>
      <c r="C124" s="261" t="s">
        <v>199</v>
      </c>
      <c r="D124" s="261" t="s">
        <v>117</v>
      </c>
      <c r="E124" s="262">
        <v>500</v>
      </c>
      <c r="F124" s="358">
        <f t="shared" si="4"/>
        <v>0.92979283099973931</v>
      </c>
      <c r="G124" s="491">
        <v>537.75419999999997</v>
      </c>
      <c r="H124" s="261" t="s">
        <v>497</v>
      </c>
      <c r="I124" s="185" t="s">
        <v>2501</v>
      </c>
      <c r="J124" s="130" t="s">
        <v>98</v>
      </c>
      <c r="K124" s="130" t="s">
        <v>2638</v>
      </c>
      <c r="L124" s="148" t="s">
        <v>155</v>
      </c>
      <c r="M124" s="130"/>
      <c r="N124" s="130"/>
      <c r="O124" s="130"/>
    </row>
    <row r="125" spans="1:15" ht="16.5">
      <c r="A125" s="481">
        <v>45861</v>
      </c>
      <c r="B125" s="265" t="s">
        <v>2491</v>
      </c>
      <c r="C125" s="265" t="s">
        <v>179</v>
      </c>
      <c r="D125" s="265" t="s">
        <v>117</v>
      </c>
      <c r="E125" s="262">
        <v>20000</v>
      </c>
      <c r="F125" s="358">
        <f t="shared" si="4"/>
        <v>37.191713239989575</v>
      </c>
      <c r="G125" s="491">
        <v>537.75419999999997</v>
      </c>
      <c r="H125" s="261" t="s">
        <v>497</v>
      </c>
      <c r="I125" s="185" t="s">
        <v>2503</v>
      </c>
      <c r="J125" s="130" t="s">
        <v>98</v>
      </c>
      <c r="K125" s="130" t="s">
        <v>2638</v>
      </c>
      <c r="L125" s="148" t="s">
        <v>155</v>
      </c>
      <c r="M125" s="130"/>
      <c r="N125" s="130"/>
      <c r="O125" s="130"/>
    </row>
    <row r="126" spans="1:15" ht="16.5">
      <c r="A126" s="481">
        <v>45862</v>
      </c>
      <c r="B126" s="321" t="s">
        <v>2355</v>
      </c>
      <c r="C126" s="322" t="s">
        <v>175</v>
      </c>
      <c r="D126" s="323" t="s">
        <v>119</v>
      </c>
      <c r="E126" s="321">
        <v>1000</v>
      </c>
      <c r="F126" s="358">
        <f t="shared" si="4"/>
        <v>1.8595856619994786</v>
      </c>
      <c r="G126" s="491">
        <v>537.75419999999997</v>
      </c>
      <c r="H126" s="325" t="s">
        <v>153</v>
      </c>
      <c r="I126" s="326" t="s">
        <v>2373</v>
      </c>
      <c r="J126" s="130" t="s">
        <v>98</v>
      </c>
      <c r="K126" s="130" t="s">
        <v>2638</v>
      </c>
      <c r="L126" s="148" t="s">
        <v>155</v>
      </c>
      <c r="M126" s="130"/>
      <c r="N126" s="130"/>
      <c r="O126" s="130"/>
    </row>
    <row r="127" spans="1:15" ht="16.5">
      <c r="A127" s="481">
        <v>45862</v>
      </c>
      <c r="B127" s="321" t="s">
        <v>2356</v>
      </c>
      <c r="C127" s="322" t="s">
        <v>175</v>
      </c>
      <c r="D127" s="323" t="s">
        <v>119</v>
      </c>
      <c r="E127" s="321">
        <v>1000</v>
      </c>
      <c r="F127" s="358">
        <f t="shared" si="4"/>
        <v>1.8595856619994786</v>
      </c>
      <c r="G127" s="491">
        <v>537.75419999999997</v>
      </c>
      <c r="H127" s="325" t="s">
        <v>153</v>
      </c>
      <c r="I127" s="326" t="s">
        <v>2373</v>
      </c>
      <c r="J127" s="130" t="s">
        <v>98</v>
      </c>
      <c r="K127" s="130" t="s">
        <v>2638</v>
      </c>
      <c r="L127" s="148" t="s">
        <v>155</v>
      </c>
      <c r="M127" s="130"/>
      <c r="N127" s="130"/>
      <c r="O127" s="130"/>
    </row>
    <row r="128" spans="1:15" ht="16.5">
      <c r="A128" s="481">
        <v>45862</v>
      </c>
      <c r="B128" s="484" t="s">
        <v>2381</v>
      </c>
      <c r="C128" s="485" t="s">
        <v>175</v>
      </c>
      <c r="D128" s="484" t="s">
        <v>117</v>
      </c>
      <c r="E128" s="485">
        <v>1000</v>
      </c>
      <c r="F128" s="358">
        <f t="shared" si="4"/>
        <v>1.8595856619994786</v>
      </c>
      <c r="G128" s="491">
        <v>537.75419999999997</v>
      </c>
      <c r="H128" s="486" t="s">
        <v>203</v>
      </c>
      <c r="I128" s="335" t="s">
        <v>2387</v>
      </c>
      <c r="J128" s="130" t="s">
        <v>98</v>
      </c>
      <c r="K128" s="130" t="s">
        <v>2638</v>
      </c>
      <c r="L128" s="148" t="s">
        <v>155</v>
      </c>
      <c r="M128" s="130"/>
      <c r="N128" s="130"/>
      <c r="O128" s="130"/>
    </row>
    <row r="129" spans="1:15" ht="16.5">
      <c r="A129" s="481">
        <v>45862</v>
      </c>
      <c r="B129" s="484" t="s">
        <v>2382</v>
      </c>
      <c r="C129" s="485" t="s">
        <v>175</v>
      </c>
      <c r="D129" s="484" t="s">
        <v>117</v>
      </c>
      <c r="E129" s="485">
        <v>1000</v>
      </c>
      <c r="F129" s="358">
        <f t="shared" si="4"/>
        <v>1.8595856619994786</v>
      </c>
      <c r="G129" s="491">
        <v>537.75419999999997</v>
      </c>
      <c r="H129" s="486" t="s">
        <v>203</v>
      </c>
      <c r="I129" s="335" t="s">
        <v>2387</v>
      </c>
      <c r="J129" s="130" t="s">
        <v>98</v>
      </c>
      <c r="K129" s="130" t="s">
        <v>2638</v>
      </c>
      <c r="L129" s="148" t="s">
        <v>155</v>
      </c>
      <c r="M129" s="130"/>
      <c r="N129" s="130"/>
      <c r="O129" s="130"/>
    </row>
    <row r="130" spans="1:15" ht="16.5">
      <c r="A130" s="481">
        <v>45862</v>
      </c>
      <c r="B130" s="484" t="s">
        <v>2383</v>
      </c>
      <c r="C130" s="485" t="s">
        <v>175</v>
      </c>
      <c r="D130" s="484" t="s">
        <v>117</v>
      </c>
      <c r="E130" s="485">
        <v>1000</v>
      </c>
      <c r="F130" s="358">
        <f t="shared" si="4"/>
        <v>1.8595856619994786</v>
      </c>
      <c r="G130" s="491">
        <v>537.75419999999997</v>
      </c>
      <c r="H130" s="486" t="s">
        <v>203</v>
      </c>
      <c r="I130" s="335" t="s">
        <v>2387</v>
      </c>
      <c r="J130" s="130" t="s">
        <v>98</v>
      </c>
      <c r="K130" s="130" t="s">
        <v>2638</v>
      </c>
      <c r="L130" s="148" t="s">
        <v>155</v>
      </c>
      <c r="M130" s="130"/>
      <c r="N130" s="130"/>
      <c r="O130" s="130"/>
    </row>
    <row r="131" spans="1:15" ht="16.5">
      <c r="A131" s="481">
        <v>45862</v>
      </c>
      <c r="B131" s="484" t="s">
        <v>2384</v>
      </c>
      <c r="C131" s="485" t="s">
        <v>175</v>
      </c>
      <c r="D131" s="484" t="s">
        <v>117</v>
      </c>
      <c r="E131" s="485">
        <v>1000</v>
      </c>
      <c r="F131" s="358">
        <f t="shared" si="4"/>
        <v>1.8595856619994786</v>
      </c>
      <c r="G131" s="491">
        <v>537.75419999999997</v>
      </c>
      <c r="H131" s="486" t="s">
        <v>203</v>
      </c>
      <c r="I131" s="335" t="s">
        <v>2387</v>
      </c>
      <c r="J131" s="130" t="s">
        <v>98</v>
      </c>
      <c r="K131" s="130" t="s">
        <v>2638</v>
      </c>
      <c r="L131" s="148" t="s">
        <v>155</v>
      </c>
      <c r="M131" s="130"/>
      <c r="N131" s="130"/>
      <c r="O131" s="130"/>
    </row>
    <row r="132" spans="1:15" ht="16.5">
      <c r="A132" s="481">
        <v>45862</v>
      </c>
      <c r="B132" s="482" t="s">
        <v>2410</v>
      </c>
      <c r="C132" s="482" t="s">
        <v>175</v>
      </c>
      <c r="D132" s="482" t="s">
        <v>118</v>
      </c>
      <c r="E132" s="379">
        <v>1000</v>
      </c>
      <c r="F132" s="358">
        <f t="shared" si="4"/>
        <v>1.8595856619994786</v>
      </c>
      <c r="G132" s="491">
        <v>537.75419999999997</v>
      </c>
      <c r="H132" s="482" t="s">
        <v>643</v>
      </c>
      <c r="I132" s="130" t="s">
        <v>2434</v>
      </c>
      <c r="J132" s="130" t="s">
        <v>98</v>
      </c>
      <c r="K132" s="130" t="s">
        <v>2638</v>
      </c>
      <c r="L132" s="148" t="s">
        <v>155</v>
      </c>
      <c r="M132" s="148"/>
      <c r="N132" s="130"/>
      <c r="O132" s="130"/>
    </row>
    <row r="133" spans="1:15" ht="16.5">
      <c r="A133" s="481">
        <v>45862</v>
      </c>
      <c r="B133" s="482" t="s">
        <v>2411</v>
      </c>
      <c r="C133" s="482" t="s">
        <v>175</v>
      </c>
      <c r="D133" s="482" t="s">
        <v>118</v>
      </c>
      <c r="E133" s="379">
        <v>1000</v>
      </c>
      <c r="F133" s="358">
        <f t="shared" si="4"/>
        <v>1.8595856619994786</v>
      </c>
      <c r="G133" s="491">
        <v>537.75419999999997</v>
      </c>
      <c r="H133" s="482" t="s">
        <v>643</v>
      </c>
      <c r="I133" s="130" t="s">
        <v>2434</v>
      </c>
      <c r="J133" s="130" t="s">
        <v>98</v>
      </c>
      <c r="K133" s="130" t="s">
        <v>2638</v>
      </c>
      <c r="L133" s="148" t="s">
        <v>155</v>
      </c>
      <c r="M133" s="130"/>
      <c r="N133" s="130"/>
      <c r="O133" s="130"/>
    </row>
    <row r="134" spans="1:15" ht="16.5">
      <c r="A134" s="481">
        <v>45862</v>
      </c>
      <c r="B134" s="482" t="s">
        <v>2412</v>
      </c>
      <c r="C134" s="482" t="s">
        <v>175</v>
      </c>
      <c r="D134" s="482" t="s">
        <v>118</v>
      </c>
      <c r="E134" s="379">
        <v>1000</v>
      </c>
      <c r="F134" s="358">
        <f t="shared" si="4"/>
        <v>1.8595856619994786</v>
      </c>
      <c r="G134" s="491">
        <v>537.75419999999997</v>
      </c>
      <c r="H134" s="482" t="s">
        <v>643</v>
      </c>
      <c r="I134" s="130" t="s">
        <v>2434</v>
      </c>
      <c r="J134" s="130" t="s">
        <v>98</v>
      </c>
      <c r="K134" s="130" t="s">
        <v>2638</v>
      </c>
      <c r="L134" s="148" t="s">
        <v>155</v>
      </c>
      <c r="M134" s="130"/>
      <c r="N134" s="130"/>
      <c r="O134" s="130"/>
    </row>
    <row r="135" spans="1:15" ht="16.5">
      <c r="A135" s="481">
        <v>45862</v>
      </c>
      <c r="B135" s="482" t="s">
        <v>2413</v>
      </c>
      <c r="C135" s="482" t="s">
        <v>184</v>
      </c>
      <c r="D135" s="482" t="s">
        <v>118</v>
      </c>
      <c r="E135" s="379">
        <v>700</v>
      </c>
      <c r="F135" s="358">
        <f t="shared" si="4"/>
        <v>1.3017099633996352</v>
      </c>
      <c r="G135" s="491">
        <v>537.75419999999997</v>
      </c>
      <c r="H135" s="482" t="s">
        <v>643</v>
      </c>
      <c r="I135" s="130" t="s">
        <v>2438</v>
      </c>
      <c r="J135" s="130" t="s">
        <v>98</v>
      </c>
      <c r="K135" s="130" t="s">
        <v>2638</v>
      </c>
      <c r="L135" s="148" t="s">
        <v>155</v>
      </c>
      <c r="M135" s="130"/>
      <c r="N135" s="130"/>
      <c r="O135" s="130"/>
    </row>
    <row r="136" spans="1:15" ht="16.5">
      <c r="A136" s="481">
        <v>45862</v>
      </c>
      <c r="B136" s="185" t="s">
        <v>2492</v>
      </c>
      <c r="C136" s="261" t="s">
        <v>199</v>
      </c>
      <c r="D136" s="261" t="s">
        <v>117</v>
      </c>
      <c r="E136" s="262">
        <v>500</v>
      </c>
      <c r="F136" s="358">
        <f t="shared" si="4"/>
        <v>0.92979283099973931</v>
      </c>
      <c r="G136" s="491">
        <v>537.75419999999997</v>
      </c>
      <c r="H136" s="261" t="s">
        <v>497</v>
      </c>
      <c r="I136" s="185" t="s">
        <v>2501</v>
      </c>
      <c r="J136" s="130" t="s">
        <v>98</v>
      </c>
      <c r="K136" s="130" t="s">
        <v>2638</v>
      </c>
      <c r="L136" s="148" t="s">
        <v>155</v>
      </c>
      <c r="M136" s="130"/>
      <c r="N136" s="130"/>
      <c r="O136" s="130"/>
    </row>
    <row r="137" spans="1:15" ht="16.5">
      <c r="A137" s="481">
        <v>45862</v>
      </c>
      <c r="B137" s="185" t="s">
        <v>2493</v>
      </c>
      <c r="C137" s="261" t="s">
        <v>199</v>
      </c>
      <c r="D137" s="261" t="s">
        <v>117</v>
      </c>
      <c r="E137" s="262">
        <v>500</v>
      </c>
      <c r="F137" s="358">
        <f t="shared" si="4"/>
        <v>0.92979283099973931</v>
      </c>
      <c r="G137" s="491">
        <v>537.75419999999997</v>
      </c>
      <c r="H137" s="261" t="s">
        <v>497</v>
      </c>
      <c r="I137" s="185" t="s">
        <v>2501</v>
      </c>
      <c r="J137" s="130" t="s">
        <v>98</v>
      </c>
      <c r="K137" s="130" t="s">
        <v>2638</v>
      </c>
      <c r="L137" s="148" t="s">
        <v>155</v>
      </c>
      <c r="M137" s="130"/>
      <c r="N137" s="130"/>
      <c r="O137" s="130"/>
    </row>
    <row r="138" spans="1:15" ht="16.5">
      <c r="A138" s="481">
        <v>45862</v>
      </c>
      <c r="B138" s="185" t="s">
        <v>2494</v>
      </c>
      <c r="C138" s="261" t="s">
        <v>199</v>
      </c>
      <c r="D138" s="261" t="s">
        <v>117</v>
      </c>
      <c r="E138" s="262">
        <v>500</v>
      </c>
      <c r="F138" s="358">
        <f t="shared" si="4"/>
        <v>0.92979283099973931</v>
      </c>
      <c r="G138" s="491">
        <v>537.75419999999997</v>
      </c>
      <c r="H138" s="261" t="s">
        <v>497</v>
      </c>
      <c r="I138" s="185" t="s">
        <v>2501</v>
      </c>
      <c r="J138" s="130" t="s">
        <v>98</v>
      </c>
      <c r="K138" s="130" t="s">
        <v>2638</v>
      </c>
      <c r="L138" s="148" t="s">
        <v>155</v>
      </c>
      <c r="M138" s="130"/>
      <c r="N138" s="130"/>
      <c r="O138" s="130"/>
    </row>
    <row r="139" spans="1:15" ht="16.5">
      <c r="A139" s="481">
        <v>45862</v>
      </c>
      <c r="B139" s="185" t="s">
        <v>537</v>
      </c>
      <c r="C139" s="261" t="s">
        <v>199</v>
      </c>
      <c r="D139" s="261" t="s">
        <v>117</v>
      </c>
      <c r="E139" s="262">
        <v>7000</v>
      </c>
      <c r="F139" s="358">
        <f t="shared" si="4"/>
        <v>13.017099633996351</v>
      </c>
      <c r="G139" s="491">
        <v>537.75419999999997</v>
      </c>
      <c r="H139" s="261" t="s">
        <v>497</v>
      </c>
      <c r="I139" s="185" t="s">
        <v>2505</v>
      </c>
      <c r="J139" s="130" t="s">
        <v>98</v>
      </c>
      <c r="K139" s="130" t="s">
        <v>2638</v>
      </c>
      <c r="L139" s="148" t="s">
        <v>155</v>
      </c>
      <c r="M139" s="130"/>
      <c r="N139" s="130"/>
      <c r="O139" s="130"/>
    </row>
    <row r="140" spans="1:15" ht="16.5">
      <c r="A140" s="481">
        <v>45863</v>
      </c>
      <c r="B140" s="321" t="s">
        <v>2355</v>
      </c>
      <c r="C140" s="322" t="s">
        <v>175</v>
      </c>
      <c r="D140" s="323" t="s">
        <v>119</v>
      </c>
      <c r="E140" s="321">
        <v>1000</v>
      </c>
      <c r="F140" s="358">
        <f t="shared" si="4"/>
        <v>1.8595856619994786</v>
      </c>
      <c r="G140" s="491">
        <v>537.75419999999997</v>
      </c>
      <c r="H140" s="325" t="s">
        <v>153</v>
      </c>
      <c r="I140" s="326" t="s">
        <v>2373</v>
      </c>
      <c r="J140" s="130" t="s">
        <v>98</v>
      </c>
      <c r="K140" s="130" t="s">
        <v>2638</v>
      </c>
      <c r="L140" s="148" t="s">
        <v>155</v>
      </c>
      <c r="M140" s="130"/>
      <c r="N140" s="130"/>
      <c r="O140" s="130"/>
    </row>
    <row r="141" spans="1:15" ht="16.5">
      <c r="A141" s="481">
        <v>45863</v>
      </c>
      <c r="B141" s="321" t="s">
        <v>2356</v>
      </c>
      <c r="C141" s="322" t="s">
        <v>175</v>
      </c>
      <c r="D141" s="323" t="s">
        <v>119</v>
      </c>
      <c r="E141" s="321">
        <v>1000</v>
      </c>
      <c r="F141" s="358">
        <f t="shared" si="4"/>
        <v>1.8595856619994786</v>
      </c>
      <c r="G141" s="491">
        <v>537.75419999999997</v>
      </c>
      <c r="H141" s="325" t="s">
        <v>153</v>
      </c>
      <c r="I141" s="326" t="s">
        <v>2373</v>
      </c>
      <c r="J141" s="130" t="s">
        <v>98</v>
      </c>
      <c r="K141" s="130" t="s">
        <v>2638</v>
      </c>
      <c r="L141" s="148" t="s">
        <v>155</v>
      </c>
      <c r="M141" s="130"/>
      <c r="N141" s="130"/>
      <c r="O141" s="130"/>
    </row>
    <row r="142" spans="1:15" ht="16.5">
      <c r="A142" s="481">
        <v>45863</v>
      </c>
      <c r="B142" s="484" t="s">
        <v>2385</v>
      </c>
      <c r="C142" s="485" t="s">
        <v>175</v>
      </c>
      <c r="D142" s="484" t="s">
        <v>117</v>
      </c>
      <c r="E142" s="485">
        <v>1000</v>
      </c>
      <c r="F142" s="358">
        <f t="shared" si="4"/>
        <v>1.8595856619994786</v>
      </c>
      <c r="G142" s="491">
        <v>537.75419999999997</v>
      </c>
      <c r="H142" s="486" t="s">
        <v>203</v>
      </c>
      <c r="I142" s="335" t="s">
        <v>2387</v>
      </c>
      <c r="J142" s="130" t="s">
        <v>98</v>
      </c>
      <c r="K142" s="130" t="s">
        <v>2638</v>
      </c>
      <c r="L142" s="148" t="s">
        <v>155</v>
      </c>
      <c r="M142" s="130"/>
      <c r="N142" s="130"/>
      <c r="O142" s="130"/>
    </row>
    <row r="143" spans="1:15" ht="16.5">
      <c r="A143" s="481">
        <v>45863</v>
      </c>
      <c r="B143" s="484" t="s">
        <v>2386</v>
      </c>
      <c r="C143" s="485" t="s">
        <v>175</v>
      </c>
      <c r="D143" s="484" t="s">
        <v>117</v>
      </c>
      <c r="E143" s="485">
        <v>1000</v>
      </c>
      <c r="F143" s="358">
        <f t="shared" si="4"/>
        <v>1.8595856619994786</v>
      </c>
      <c r="G143" s="491">
        <v>537.75419999999997</v>
      </c>
      <c r="H143" s="486" t="s">
        <v>203</v>
      </c>
      <c r="I143" s="335" t="s">
        <v>2387</v>
      </c>
      <c r="J143" s="130" t="s">
        <v>98</v>
      </c>
      <c r="K143" s="130" t="s">
        <v>2638</v>
      </c>
      <c r="L143" s="148" t="s">
        <v>155</v>
      </c>
      <c r="M143" s="130"/>
      <c r="N143" s="130"/>
      <c r="O143" s="130"/>
    </row>
    <row r="144" spans="1:15" ht="16.5">
      <c r="A144" s="481">
        <v>45863</v>
      </c>
      <c r="B144" s="482" t="s">
        <v>2414</v>
      </c>
      <c r="C144" s="482" t="s">
        <v>175</v>
      </c>
      <c r="D144" s="482" t="s">
        <v>118</v>
      </c>
      <c r="E144" s="379">
        <v>1000</v>
      </c>
      <c r="F144" s="358">
        <f t="shared" si="4"/>
        <v>1.8595856619994786</v>
      </c>
      <c r="G144" s="491">
        <v>537.75419999999997</v>
      </c>
      <c r="H144" s="482" t="s">
        <v>643</v>
      </c>
      <c r="I144" s="130" t="s">
        <v>2434</v>
      </c>
      <c r="J144" s="130" t="s">
        <v>98</v>
      </c>
      <c r="K144" s="130" t="s">
        <v>2638</v>
      </c>
      <c r="L144" s="148" t="s">
        <v>155</v>
      </c>
      <c r="M144" s="130"/>
      <c r="N144" s="130"/>
      <c r="O144" s="130"/>
    </row>
    <row r="145" spans="1:15" ht="16.5">
      <c r="A145" s="481">
        <v>45863</v>
      </c>
      <c r="B145" s="482" t="s">
        <v>2415</v>
      </c>
      <c r="C145" s="482" t="s">
        <v>175</v>
      </c>
      <c r="D145" s="482" t="s">
        <v>118</v>
      </c>
      <c r="E145" s="379">
        <v>1000</v>
      </c>
      <c r="F145" s="358">
        <f t="shared" si="4"/>
        <v>1.8595856619994786</v>
      </c>
      <c r="G145" s="491">
        <v>537.75419999999997</v>
      </c>
      <c r="H145" s="482" t="s">
        <v>643</v>
      </c>
      <c r="I145" s="130" t="s">
        <v>2434</v>
      </c>
      <c r="J145" s="130" t="s">
        <v>98</v>
      </c>
      <c r="K145" s="130" t="s">
        <v>2638</v>
      </c>
      <c r="L145" s="148" t="s">
        <v>155</v>
      </c>
      <c r="M145" s="130"/>
      <c r="N145" s="130"/>
      <c r="O145" s="130"/>
    </row>
    <row r="146" spans="1:15" ht="16.5">
      <c r="A146" s="481">
        <v>45863</v>
      </c>
      <c r="B146" s="482" t="s">
        <v>2416</v>
      </c>
      <c r="C146" s="482" t="s">
        <v>175</v>
      </c>
      <c r="D146" s="482" t="s">
        <v>118</v>
      </c>
      <c r="E146" s="379">
        <v>1000</v>
      </c>
      <c r="F146" s="358">
        <f t="shared" si="4"/>
        <v>1.8595856619994786</v>
      </c>
      <c r="G146" s="491">
        <v>537.75419999999997</v>
      </c>
      <c r="H146" s="482" t="s">
        <v>643</v>
      </c>
      <c r="I146" s="130" t="s">
        <v>2434</v>
      </c>
      <c r="J146" s="130" t="s">
        <v>98</v>
      </c>
      <c r="K146" s="130" t="s">
        <v>2638</v>
      </c>
      <c r="L146" s="148" t="s">
        <v>155</v>
      </c>
      <c r="M146" s="130"/>
      <c r="N146" s="130"/>
      <c r="O146" s="130"/>
    </row>
    <row r="147" spans="1:15" ht="16.5">
      <c r="A147" s="481">
        <v>45863</v>
      </c>
      <c r="B147" s="482" t="s">
        <v>2417</v>
      </c>
      <c r="C147" s="482" t="s">
        <v>175</v>
      </c>
      <c r="D147" s="482" t="s">
        <v>118</v>
      </c>
      <c r="E147" s="379">
        <v>1000</v>
      </c>
      <c r="F147" s="358">
        <f t="shared" si="4"/>
        <v>1.8595856619994786</v>
      </c>
      <c r="G147" s="491">
        <v>537.75419999999997</v>
      </c>
      <c r="H147" s="482" t="s">
        <v>643</v>
      </c>
      <c r="I147" s="130" t="s">
        <v>2434</v>
      </c>
      <c r="J147" s="130" t="s">
        <v>98</v>
      </c>
      <c r="K147" s="130" t="s">
        <v>2638</v>
      </c>
      <c r="L147" s="148" t="s">
        <v>155</v>
      </c>
      <c r="M147" s="130"/>
      <c r="N147" s="130"/>
      <c r="O147" s="130"/>
    </row>
    <row r="148" spans="1:15" ht="16.5">
      <c r="A148" s="481">
        <v>45863</v>
      </c>
      <c r="B148" s="482" t="s">
        <v>2418</v>
      </c>
      <c r="C148" s="482" t="s">
        <v>175</v>
      </c>
      <c r="D148" s="482" t="s">
        <v>118</v>
      </c>
      <c r="E148" s="379">
        <v>1000</v>
      </c>
      <c r="F148" s="358">
        <f t="shared" si="4"/>
        <v>1.8595856619994786</v>
      </c>
      <c r="G148" s="491">
        <v>537.75419999999997</v>
      </c>
      <c r="H148" s="482" t="s">
        <v>643</v>
      </c>
      <c r="I148" s="130" t="s">
        <v>2434</v>
      </c>
      <c r="J148" s="130" t="s">
        <v>98</v>
      </c>
      <c r="K148" s="130" t="s">
        <v>2638</v>
      </c>
      <c r="L148" s="148" t="s">
        <v>155</v>
      </c>
      <c r="M148" s="130"/>
      <c r="N148" s="130"/>
      <c r="O148" s="130"/>
    </row>
    <row r="149" spans="1:15" ht="16.5">
      <c r="A149" s="481">
        <v>45863</v>
      </c>
      <c r="B149" s="482" t="s">
        <v>2419</v>
      </c>
      <c r="C149" s="482" t="s">
        <v>175</v>
      </c>
      <c r="D149" s="482" t="s">
        <v>118</v>
      </c>
      <c r="E149" s="379">
        <v>1000</v>
      </c>
      <c r="F149" s="358">
        <f t="shared" si="4"/>
        <v>1.8595856619994786</v>
      </c>
      <c r="G149" s="491">
        <v>537.75419999999997</v>
      </c>
      <c r="H149" s="482" t="s">
        <v>643</v>
      </c>
      <c r="I149" s="130" t="s">
        <v>2434</v>
      </c>
      <c r="J149" s="130" t="s">
        <v>98</v>
      </c>
      <c r="K149" s="130" t="s">
        <v>2638</v>
      </c>
      <c r="L149" s="148" t="s">
        <v>155</v>
      </c>
      <c r="M149" s="130"/>
      <c r="N149" s="130"/>
      <c r="O149" s="130"/>
    </row>
    <row r="150" spans="1:15" ht="16.5">
      <c r="A150" s="481">
        <v>45863</v>
      </c>
      <c r="B150" s="482" t="s">
        <v>2420</v>
      </c>
      <c r="C150" s="482" t="s">
        <v>175</v>
      </c>
      <c r="D150" s="482" t="s">
        <v>118</v>
      </c>
      <c r="E150" s="379">
        <v>1000</v>
      </c>
      <c r="F150" s="358">
        <f t="shared" si="4"/>
        <v>1.8595856619994786</v>
      </c>
      <c r="G150" s="491">
        <v>537.75419999999997</v>
      </c>
      <c r="H150" s="482" t="s">
        <v>643</v>
      </c>
      <c r="I150" s="130" t="s">
        <v>2434</v>
      </c>
      <c r="J150" s="130" t="s">
        <v>98</v>
      </c>
      <c r="K150" s="130" t="s">
        <v>2638</v>
      </c>
      <c r="L150" s="148" t="s">
        <v>155</v>
      </c>
      <c r="M150" s="130"/>
      <c r="N150" s="130"/>
      <c r="O150" s="130"/>
    </row>
    <row r="151" spans="1:15" ht="16.5">
      <c r="A151" s="481">
        <v>45863</v>
      </c>
      <c r="B151" s="482" t="s">
        <v>2421</v>
      </c>
      <c r="C151" s="482" t="s">
        <v>126</v>
      </c>
      <c r="D151" s="482" t="s">
        <v>118</v>
      </c>
      <c r="E151" s="379">
        <v>71274</v>
      </c>
      <c r="F151" s="358">
        <f t="shared" si="4"/>
        <v>132.54010847335084</v>
      </c>
      <c r="G151" s="491">
        <v>537.75419999999997</v>
      </c>
      <c r="H151" s="482" t="s">
        <v>643</v>
      </c>
      <c r="I151" s="130" t="s">
        <v>2440</v>
      </c>
      <c r="J151" s="130" t="s">
        <v>98</v>
      </c>
      <c r="K151" s="130" t="s">
        <v>2638</v>
      </c>
      <c r="L151" s="148" t="s">
        <v>155</v>
      </c>
      <c r="M151" s="130"/>
      <c r="N151" s="130"/>
      <c r="O151" s="130"/>
    </row>
    <row r="152" spans="1:15" ht="16.5">
      <c r="A152" s="481">
        <v>45863</v>
      </c>
      <c r="B152" s="265" t="s">
        <v>2495</v>
      </c>
      <c r="C152" s="265" t="s">
        <v>179</v>
      </c>
      <c r="D152" s="265" t="s">
        <v>117</v>
      </c>
      <c r="E152" s="262">
        <v>30000</v>
      </c>
      <c r="F152" s="358">
        <f t="shared" si="4"/>
        <v>55.787569859984359</v>
      </c>
      <c r="G152" s="491">
        <v>537.75419999999997</v>
      </c>
      <c r="H152" s="261" t="s">
        <v>497</v>
      </c>
      <c r="I152" s="185" t="s">
        <v>2506</v>
      </c>
      <c r="J152" s="130" t="s">
        <v>98</v>
      </c>
      <c r="K152" s="130" t="s">
        <v>2638</v>
      </c>
      <c r="L152" s="148" t="s">
        <v>155</v>
      </c>
      <c r="M152" s="130"/>
      <c r="N152" s="130"/>
      <c r="O152" s="130"/>
    </row>
    <row r="153" spans="1:15" ht="16.5">
      <c r="A153" s="481">
        <v>45863</v>
      </c>
      <c r="B153" s="185" t="s">
        <v>2496</v>
      </c>
      <c r="C153" s="261" t="s">
        <v>199</v>
      </c>
      <c r="D153" s="261" t="s">
        <v>117</v>
      </c>
      <c r="E153" s="262">
        <v>500</v>
      </c>
      <c r="F153" s="358">
        <f t="shared" ref="F153:F184" si="5">E153/G153</f>
        <v>0.92979283099973931</v>
      </c>
      <c r="G153" s="491">
        <v>537.75419999999997</v>
      </c>
      <c r="H153" s="261" t="s">
        <v>497</v>
      </c>
      <c r="I153" s="185" t="s">
        <v>2501</v>
      </c>
      <c r="J153" s="130" t="s">
        <v>98</v>
      </c>
      <c r="K153" s="130" t="s">
        <v>2638</v>
      </c>
      <c r="L153" s="148" t="s">
        <v>155</v>
      </c>
      <c r="M153" s="130"/>
      <c r="N153" s="130"/>
      <c r="O153" s="130"/>
    </row>
    <row r="154" spans="1:15" ht="16.5">
      <c r="A154" s="481">
        <v>45863</v>
      </c>
      <c r="B154" s="185" t="s">
        <v>2488</v>
      </c>
      <c r="C154" s="261" t="s">
        <v>199</v>
      </c>
      <c r="D154" s="261" t="s">
        <v>117</v>
      </c>
      <c r="E154" s="262">
        <v>1000</v>
      </c>
      <c r="F154" s="358">
        <f t="shared" si="5"/>
        <v>1.8595856619994786</v>
      </c>
      <c r="G154" s="491">
        <v>537.75419999999997</v>
      </c>
      <c r="H154" s="261" t="s">
        <v>497</v>
      </c>
      <c r="I154" s="185" t="s">
        <v>2501</v>
      </c>
      <c r="J154" s="130" t="s">
        <v>98</v>
      </c>
      <c r="K154" s="130" t="s">
        <v>2638</v>
      </c>
      <c r="L154" s="148" t="s">
        <v>155</v>
      </c>
      <c r="M154" s="130"/>
      <c r="N154" s="130"/>
      <c r="O154" s="130"/>
    </row>
    <row r="155" spans="1:15" ht="16.5">
      <c r="A155" s="481">
        <v>45863</v>
      </c>
      <c r="B155" s="404" t="s">
        <v>2587</v>
      </c>
      <c r="C155" s="183" t="s">
        <v>127</v>
      </c>
      <c r="D155" s="183" t="s">
        <v>118</v>
      </c>
      <c r="E155" s="478">
        <v>230000</v>
      </c>
      <c r="F155" s="358">
        <f t="shared" si="5"/>
        <v>427.70470225988009</v>
      </c>
      <c r="G155" s="491">
        <v>537.75419999999997</v>
      </c>
      <c r="H155" s="482" t="s">
        <v>148</v>
      </c>
      <c r="I155" s="130" t="s">
        <v>2588</v>
      </c>
      <c r="J155" s="130" t="s">
        <v>98</v>
      </c>
      <c r="K155" s="130" t="s">
        <v>2638</v>
      </c>
      <c r="L155" s="148" t="s">
        <v>155</v>
      </c>
      <c r="M155" s="130"/>
      <c r="N155" s="130"/>
      <c r="O155" s="130"/>
    </row>
    <row r="156" spans="1:15" ht="16.5">
      <c r="A156" s="481">
        <v>45863</v>
      </c>
      <c r="B156" s="404" t="s">
        <v>2589</v>
      </c>
      <c r="C156" s="183" t="s">
        <v>127</v>
      </c>
      <c r="D156" s="489" t="s">
        <v>117</v>
      </c>
      <c r="E156" s="478">
        <v>200000</v>
      </c>
      <c r="F156" s="358">
        <f t="shared" si="5"/>
        <v>371.91713239989576</v>
      </c>
      <c r="G156" s="491">
        <v>537.75419999999997</v>
      </c>
      <c r="H156" s="482" t="s">
        <v>148</v>
      </c>
      <c r="I156" s="130" t="s">
        <v>2590</v>
      </c>
      <c r="J156" s="130" t="s">
        <v>98</v>
      </c>
      <c r="K156" s="130" t="s">
        <v>2638</v>
      </c>
      <c r="L156" s="148" t="s">
        <v>155</v>
      </c>
      <c r="M156" s="130"/>
      <c r="N156" s="130"/>
      <c r="O156" s="130"/>
    </row>
    <row r="157" spans="1:15" ht="16.5">
      <c r="A157" s="481">
        <v>45863</v>
      </c>
      <c r="B157" s="404" t="s">
        <v>2591</v>
      </c>
      <c r="C157" s="483" t="s">
        <v>127</v>
      </c>
      <c r="D157" s="488" t="s">
        <v>117</v>
      </c>
      <c r="E157" s="478">
        <v>200000</v>
      </c>
      <c r="F157" s="358">
        <f t="shared" si="5"/>
        <v>371.91713239989576</v>
      </c>
      <c r="G157" s="491">
        <v>537.75419999999997</v>
      </c>
      <c r="H157" s="482" t="s">
        <v>148</v>
      </c>
      <c r="I157" s="130" t="s">
        <v>2592</v>
      </c>
      <c r="J157" s="130" t="s">
        <v>98</v>
      </c>
      <c r="K157" s="130" t="s">
        <v>2638</v>
      </c>
      <c r="L157" s="148" t="s">
        <v>155</v>
      </c>
      <c r="M157" s="130"/>
      <c r="N157" s="130"/>
      <c r="O157" s="130"/>
    </row>
    <row r="158" spans="1:15" ht="16.5">
      <c r="A158" s="481">
        <v>45863</v>
      </c>
      <c r="B158" s="404" t="s">
        <v>2593</v>
      </c>
      <c r="C158" s="483" t="s">
        <v>127</v>
      </c>
      <c r="D158" s="488" t="s">
        <v>117</v>
      </c>
      <c r="E158" s="478">
        <v>1037411</v>
      </c>
      <c r="F158" s="358">
        <f t="shared" si="5"/>
        <v>1929.1546212005412</v>
      </c>
      <c r="G158" s="491">
        <v>537.75419999999997</v>
      </c>
      <c r="H158" s="482" t="s">
        <v>148</v>
      </c>
      <c r="I158" s="130" t="s">
        <v>2594</v>
      </c>
      <c r="J158" s="130" t="s">
        <v>98</v>
      </c>
      <c r="K158" s="130" t="s">
        <v>2638</v>
      </c>
      <c r="L158" s="148" t="s">
        <v>155</v>
      </c>
      <c r="M158" s="130"/>
      <c r="N158" s="130"/>
      <c r="O158" s="130"/>
    </row>
    <row r="159" spans="1:15" ht="16.5">
      <c r="A159" s="481">
        <v>45863</v>
      </c>
      <c r="B159" s="404" t="s">
        <v>2595</v>
      </c>
      <c r="C159" s="183" t="s">
        <v>127</v>
      </c>
      <c r="D159" s="483" t="s">
        <v>117</v>
      </c>
      <c r="E159" s="478">
        <v>300000</v>
      </c>
      <c r="F159" s="358">
        <f t="shared" si="5"/>
        <v>557.87569859984364</v>
      </c>
      <c r="G159" s="491">
        <v>537.75419999999997</v>
      </c>
      <c r="H159" s="482" t="s">
        <v>148</v>
      </c>
      <c r="I159" s="130" t="s">
        <v>2596</v>
      </c>
      <c r="J159" s="130" t="s">
        <v>98</v>
      </c>
      <c r="K159" s="130" t="s">
        <v>2638</v>
      </c>
      <c r="L159" s="148" t="s">
        <v>155</v>
      </c>
      <c r="M159" s="130"/>
      <c r="N159" s="130"/>
      <c r="O159" s="130"/>
    </row>
    <row r="160" spans="1:15" ht="16.5">
      <c r="A160" s="481">
        <v>45863</v>
      </c>
      <c r="B160" s="404" t="s">
        <v>2597</v>
      </c>
      <c r="C160" s="183" t="s">
        <v>127</v>
      </c>
      <c r="D160" s="483" t="s">
        <v>120</v>
      </c>
      <c r="E160" s="478">
        <v>238140</v>
      </c>
      <c r="F160" s="358">
        <f t="shared" si="5"/>
        <v>442.84172954855586</v>
      </c>
      <c r="G160" s="491">
        <v>537.75419999999997</v>
      </c>
      <c r="H160" s="482" t="s">
        <v>148</v>
      </c>
      <c r="I160" s="130" t="s">
        <v>2598</v>
      </c>
      <c r="J160" s="130" t="s">
        <v>98</v>
      </c>
      <c r="K160" s="130" t="s">
        <v>2638</v>
      </c>
      <c r="L160" s="148" t="s">
        <v>155</v>
      </c>
      <c r="M160" s="130"/>
      <c r="N160" s="130"/>
      <c r="O160" s="130"/>
    </row>
    <row r="161" spans="1:15" ht="16.5">
      <c r="A161" s="481">
        <v>45863</v>
      </c>
      <c r="B161" s="404" t="s">
        <v>2599</v>
      </c>
      <c r="C161" s="183" t="s">
        <v>127</v>
      </c>
      <c r="D161" s="183" t="s">
        <v>117</v>
      </c>
      <c r="E161" s="478">
        <v>70968</v>
      </c>
      <c r="F161" s="358">
        <f t="shared" si="5"/>
        <v>131.971075260779</v>
      </c>
      <c r="G161" s="491">
        <v>537.75419999999997</v>
      </c>
      <c r="H161" s="482" t="s">
        <v>148</v>
      </c>
      <c r="I161" s="130" t="s">
        <v>2600</v>
      </c>
      <c r="J161" s="130" t="s">
        <v>98</v>
      </c>
      <c r="K161" s="130" t="s">
        <v>2638</v>
      </c>
      <c r="L161" s="148" t="s">
        <v>155</v>
      </c>
      <c r="M161" s="130"/>
      <c r="N161" s="130"/>
      <c r="O161" s="130"/>
    </row>
    <row r="162" spans="1:15" ht="16.5">
      <c r="A162" s="481">
        <v>45863</v>
      </c>
      <c r="B162" s="404" t="s">
        <v>2567</v>
      </c>
      <c r="C162" s="483" t="s">
        <v>128</v>
      </c>
      <c r="D162" s="488" t="s">
        <v>118</v>
      </c>
      <c r="E162" s="478">
        <v>10665</v>
      </c>
      <c r="F162" s="358">
        <f t="shared" si="5"/>
        <v>19.83248108522444</v>
      </c>
      <c r="G162" s="491">
        <v>537.75419999999997</v>
      </c>
      <c r="H162" s="482" t="s">
        <v>148</v>
      </c>
      <c r="I162" s="130" t="s">
        <v>2604</v>
      </c>
      <c r="J162" s="130" t="s">
        <v>98</v>
      </c>
      <c r="K162" s="130" t="s">
        <v>2638</v>
      </c>
      <c r="L162" s="148" t="s">
        <v>155</v>
      </c>
      <c r="M162" s="130"/>
      <c r="N162" s="130"/>
      <c r="O162" s="130"/>
    </row>
    <row r="163" spans="1:15" ht="16.5">
      <c r="A163" s="481">
        <v>45866</v>
      </c>
      <c r="B163" s="321" t="s">
        <v>2355</v>
      </c>
      <c r="C163" s="322" t="s">
        <v>175</v>
      </c>
      <c r="D163" s="323" t="s">
        <v>119</v>
      </c>
      <c r="E163" s="321">
        <v>1000</v>
      </c>
      <c r="F163" s="358">
        <f t="shared" si="5"/>
        <v>1.8595856619994786</v>
      </c>
      <c r="G163" s="491">
        <v>537.75419999999997</v>
      </c>
      <c r="H163" s="325" t="s">
        <v>153</v>
      </c>
      <c r="I163" s="326" t="s">
        <v>2373</v>
      </c>
      <c r="J163" s="130" t="s">
        <v>98</v>
      </c>
      <c r="K163" s="130" t="s">
        <v>2638</v>
      </c>
      <c r="L163" s="148" t="s">
        <v>155</v>
      </c>
      <c r="M163" s="130"/>
      <c r="N163" s="130"/>
      <c r="O163" s="130"/>
    </row>
    <row r="164" spans="1:15" ht="16.5">
      <c r="A164" s="481">
        <v>45866</v>
      </c>
      <c r="B164" s="321" t="s">
        <v>2369</v>
      </c>
      <c r="C164" s="322" t="s">
        <v>175</v>
      </c>
      <c r="D164" s="323" t="s">
        <v>119</v>
      </c>
      <c r="E164" s="321">
        <v>1000</v>
      </c>
      <c r="F164" s="358">
        <f t="shared" si="5"/>
        <v>1.8595856619994786</v>
      </c>
      <c r="G164" s="491">
        <v>537.75419999999997</v>
      </c>
      <c r="H164" s="325" t="s">
        <v>153</v>
      </c>
      <c r="I164" s="326" t="s">
        <v>2373</v>
      </c>
      <c r="J164" s="130" t="s">
        <v>98</v>
      </c>
      <c r="K164" s="130" t="s">
        <v>2638</v>
      </c>
      <c r="L164" s="148" t="s">
        <v>155</v>
      </c>
      <c r="M164" s="130"/>
      <c r="N164" s="130"/>
      <c r="O164" s="130"/>
    </row>
    <row r="165" spans="1:15" ht="16.5">
      <c r="A165" s="481">
        <v>45866</v>
      </c>
      <c r="B165" s="321" t="s">
        <v>2370</v>
      </c>
      <c r="C165" s="322" t="s">
        <v>175</v>
      </c>
      <c r="D165" s="323" t="s">
        <v>119</v>
      </c>
      <c r="E165" s="321">
        <v>1000</v>
      </c>
      <c r="F165" s="358">
        <f t="shared" si="5"/>
        <v>1.8595856619994786</v>
      </c>
      <c r="G165" s="491">
        <v>537.75419999999997</v>
      </c>
      <c r="H165" s="325" t="s">
        <v>153</v>
      </c>
      <c r="I165" s="326" t="s">
        <v>2373</v>
      </c>
      <c r="J165" s="130" t="s">
        <v>98</v>
      </c>
      <c r="K165" s="130" t="s">
        <v>2638</v>
      </c>
      <c r="L165" s="148" t="s">
        <v>155</v>
      </c>
      <c r="M165" s="148"/>
      <c r="N165" s="148"/>
      <c r="O165" s="130"/>
    </row>
    <row r="166" spans="1:15" ht="16.5">
      <c r="A166" s="481">
        <v>45866</v>
      </c>
      <c r="B166" s="321" t="s">
        <v>2356</v>
      </c>
      <c r="C166" s="322" t="s">
        <v>175</v>
      </c>
      <c r="D166" s="323" t="s">
        <v>119</v>
      </c>
      <c r="E166" s="321">
        <v>1000</v>
      </c>
      <c r="F166" s="358">
        <f t="shared" si="5"/>
        <v>1.8595856619994786</v>
      </c>
      <c r="G166" s="491">
        <v>537.75419999999997</v>
      </c>
      <c r="H166" s="325" t="s">
        <v>153</v>
      </c>
      <c r="I166" s="326" t="s">
        <v>2373</v>
      </c>
      <c r="J166" s="130" t="s">
        <v>98</v>
      </c>
      <c r="K166" s="130" t="s">
        <v>2638</v>
      </c>
      <c r="L166" s="148" t="s">
        <v>155</v>
      </c>
      <c r="M166" s="130"/>
      <c r="N166" s="130"/>
      <c r="O166" s="130"/>
    </row>
    <row r="167" spans="1:15" ht="16.5">
      <c r="A167" s="481">
        <v>45866</v>
      </c>
      <c r="B167" s="482" t="s">
        <v>2422</v>
      </c>
      <c r="C167" s="482" t="s">
        <v>2196</v>
      </c>
      <c r="D167" s="482" t="s">
        <v>118</v>
      </c>
      <c r="E167" s="379">
        <v>6000</v>
      </c>
      <c r="F167" s="358">
        <f t="shared" si="5"/>
        <v>11.157513971996872</v>
      </c>
      <c r="G167" s="491">
        <v>537.75419999999997</v>
      </c>
      <c r="H167" s="266" t="s">
        <v>643</v>
      </c>
      <c r="I167" s="130" t="s">
        <v>2441</v>
      </c>
      <c r="J167" s="130" t="s">
        <v>98</v>
      </c>
      <c r="K167" s="130" t="s">
        <v>2638</v>
      </c>
      <c r="L167" s="148" t="s">
        <v>155</v>
      </c>
      <c r="M167" s="130"/>
      <c r="N167" s="130"/>
      <c r="O167" s="130"/>
    </row>
    <row r="168" spans="1:15" ht="16.5">
      <c r="A168" s="481">
        <v>45866</v>
      </c>
      <c r="B168" s="482" t="s">
        <v>2423</v>
      </c>
      <c r="C168" s="482" t="s">
        <v>317</v>
      </c>
      <c r="D168" s="482" t="s">
        <v>118</v>
      </c>
      <c r="E168" s="379">
        <v>20000</v>
      </c>
      <c r="F168" s="358">
        <f t="shared" si="5"/>
        <v>37.191713239989575</v>
      </c>
      <c r="G168" s="491">
        <v>537.75419999999997</v>
      </c>
      <c r="H168" s="482" t="s">
        <v>643</v>
      </c>
      <c r="I168" s="130" t="s">
        <v>2442</v>
      </c>
      <c r="J168" s="130" t="s">
        <v>98</v>
      </c>
      <c r="K168" s="130" t="s">
        <v>2638</v>
      </c>
      <c r="L168" s="148" t="s">
        <v>155</v>
      </c>
      <c r="M168" s="130"/>
      <c r="N168" s="130"/>
      <c r="O168" s="130"/>
    </row>
    <row r="169" spans="1:15" ht="16.5">
      <c r="A169" s="481">
        <v>45866</v>
      </c>
      <c r="B169" s="482" t="s">
        <v>2424</v>
      </c>
      <c r="C169" s="482" t="s">
        <v>317</v>
      </c>
      <c r="D169" s="482" t="s">
        <v>118</v>
      </c>
      <c r="E169" s="379">
        <v>75625</v>
      </c>
      <c r="F169" s="358">
        <f t="shared" si="5"/>
        <v>140.63116568871058</v>
      </c>
      <c r="G169" s="491">
        <v>537.75419999999997</v>
      </c>
      <c r="H169" s="482" t="s">
        <v>643</v>
      </c>
      <c r="I169" s="130" t="s">
        <v>2443</v>
      </c>
      <c r="J169" s="130" t="s">
        <v>98</v>
      </c>
      <c r="K169" s="130" t="s">
        <v>2638</v>
      </c>
      <c r="L169" s="148" t="s">
        <v>155</v>
      </c>
      <c r="M169" s="130"/>
      <c r="N169" s="130"/>
      <c r="O169" s="130"/>
    </row>
    <row r="170" spans="1:15" ht="16.5">
      <c r="A170" s="481">
        <v>45866</v>
      </c>
      <c r="B170" s="482" t="s">
        <v>2425</v>
      </c>
      <c r="C170" s="482" t="s">
        <v>172</v>
      </c>
      <c r="D170" s="482" t="s">
        <v>118</v>
      </c>
      <c r="E170" s="379">
        <v>12500</v>
      </c>
      <c r="F170" s="358">
        <f t="shared" si="5"/>
        <v>23.244820774993485</v>
      </c>
      <c r="G170" s="491">
        <v>537.75419999999997</v>
      </c>
      <c r="H170" s="482" t="s">
        <v>643</v>
      </c>
      <c r="I170" s="130" t="s">
        <v>2444</v>
      </c>
      <c r="J170" s="130" t="s">
        <v>98</v>
      </c>
      <c r="K170" s="130" t="s">
        <v>2638</v>
      </c>
      <c r="L170" s="148" t="s">
        <v>155</v>
      </c>
      <c r="M170" s="130"/>
      <c r="N170" s="130"/>
      <c r="O170" s="130"/>
    </row>
    <row r="171" spans="1:15" ht="16.5">
      <c r="A171" s="481">
        <v>45866</v>
      </c>
      <c r="B171" s="185" t="s">
        <v>2497</v>
      </c>
      <c r="C171" s="261" t="s">
        <v>199</v>
      </c>
      <c r="D171" s="261" t="s">
        <v>117</v>
      </c>
      <c r="E171" s="262">
        <v>1000</v>
      </c>
      <c r="F171" s="358">
        <f t="shared" si="5"/>
        <v>1.8595856619994786</v>
      </c>
      <c r="G171" s="491">
        <v>537.75419999999997</v>
      </c>
      <c r="H171" s="261" t="s">
        <v>497</v>
      </c>
      <c r="I171" s="185" t="s">
        <v>2501</v>
      </c>
      <c r="J171" s="130" t="s">
        <v>98</v>
      </c>
      <c r="K171" s="130" t="s">
        <v>2638</v>
      </c>
      <c r="L171" s="148" t="s">
        <v>155</v>
      </c>
      <c r="M171" s="130"/>
      <c r="N171" s="130"/>
      <c r="O171" s="130"/>
    </row>
    <row r="172" spans="1:15" ht="16.5">
      <c r="A172" s="481">
        <v>45866</v>
      </c>
      <c r="B172" s="185" t="s">
        <v>2498</v>
      </c>
      <c r="C172" s="261" t="s">
        <v>199</v>
      </c>
      <c r="D172" s="261" t="s">
        <v>117</v>
      </c>
      <c r="E172" s="262">
        <v>1000</v>
      </c>
      <c r="F172" s="358">
        <f t="shared" si="5"/>
        <v>1.8595856619994786</v>
      </c>
      <c r="G172" s="491">
        <v>537.75419999999997</v>
      </c>
      <c r="H172" s="261" t="s">
        <v>497</v>
      </c>
      <c r="I172" s="185" t="s">
        <v>2501</v>
      </c>
      <c r="J172" s="130" t="s">
        <v>98</v>
      </c>
      <c r="K172" s="130" t="s">
        <v>2638</v>
      </c>
      <c r="L172" s="148" t="s">
        <v>155</v>
      </c>
      <c r="M172" s="130"/>
      <c r="N172" s="130"/>
      <c r="O172" s="130"/>
    </row>
    <row r="173" spans="1:15" ht="16.5">
      <c r="A173" s="481">
        <v>45866</v>
      </c>
      <c r="B173" s="482" t="s">
        <v>2509</v>
      </c>
      <c r="C173" s="185" t="s">
        <v>175</v>
      </c>
      <c r="D173" s="492" t="s">
        <v>120</v>
      </c>
      <c r="E173" s="490">
        <v>1000</v>
      </c>
      <c r="F173" s="358">
        <f t="shared" si="5"/>
        <v>1.8595856619994786</v>
      </c>
      <c r="G173" s="491">
        <v>537.75419999999997</v>
      </c>
      <c r="H173" s="482" t="s">
        <v>217</v>
      </c>
      <c r="I173" s="130" t="s">
        <v>2523</v>
      </c>
      <c r="J173" s="130" t="s">
        <v>98</v>
      </c>
      <c r="K173" s="130" t="s">
        <v>2638</v>
      </c>
      <c r="L173" s="148" t="s">
        <v>155</v>
      </c>
      <c r="M173" s="130"/>
      <c r="N173" s="130"/>
      <c r="O173" s="130"/>
    </row>
    <row r="174" spans="1:15" ht="16.5">
      <c r="A174" s="481">
        <v>45866</v>
      </c>
      <c r="B174" s="482" t="s">
        <v>2510</v>
      </c>
      <c r="C174" s="185" t="s">
        <v>175</v>
      </c>
      <c r="D174" s="492" t="s">
        <v>120</v>
      </c>
      <c r="E174" s="490">
        <v>1000</v>
      </c>
      <c r="F174" s="358">
        <f t="shared" si="5"/>
        <v>1.8595856619994786</v>
      </c>
      <c r="G174" s="491">
        <v>537.75419999999997</v>
      </c>
      <c r="H174" s="482" t="s">
        <v>217</v>
      </c>
      <c r="I174" s="130" t="s">
        <v>2523</v>
      </c>
      <c r="J174" s="130" t="s">
        <v>98</v>
      </c>
      <c r="K174" s="130" t="s">
        <v>2638</v>
      </c>
      <c r="L174" s="148" t="s">
        <v>155</v>
      </c>
      <c r="M174" s="130"/>
      <c r="N174" s="130"/>
      <c r="O174" s="130"/>
    </row>
    <row r="175" spans="1:15" ht="16.5">
      <c r="A175" s="481">
        <v>45866</v>
      </c>
      <c r="B175" s="482" t="s">
        <v>2511</v>
      </c>
      <c r="C175" s="482" t="s">
        <v>2344</v>
      </c>
      <c r="D175" s="482" t="s">
        <v>120</v>
      </c>
      <c r="E175" s="379">
        <v>66000</v>
      </c>
      <c r="F175" s="358">
        <f t="shared" si="5"/>
        <v>122.7326536919656</v>
      </c>
      <c r="G175" s="491">
        <v>537.75419999999997</v>
      </c>
      <c r="H175" s="482" t="s">
        <v>217</v>
      </c>
      <c r="I175" s="132" t="s">
        <v>2525</v>
      </c>
      <c r="J175" s="130" t="s">
        <v>98</v>
      </c>
      <c r="K175" s="130" t="s">
        <v>2638</v>
      </c>
      <c r="L175" s="148" t="s">
        <v>155</v>
      </c>
      <c r="M175" s="130"/>
      <c r="N175" s="130"/>
      <c r="O175" s="130"/>
    </row>
    <row r="176" spans="1:15" ht="16.5">
      <c r="A176" s="481">
        <v>45866</v>
      </c>
      <c r="B176" s="482" t="s">
        <v>2512</v>
      </c>
      <c r="C176" s="482" t="s">
        <v>2344</v>
      </c>
      <c r="D176" s="482" t="s">
        <v>120</v>
      </c>
      <c r="E176" s="379">
        <v>30000</v>
      </c>
      <c r="F176" s="358">
        <f t="shared" si="5"/>
        <v>55.787569859984359</v>
      </c>
      <c r="G176" s="491">
        <v>537.75419999999997</v>
      </c>
      <c r="H176" s="482" t="s">
        <v>217</v>
      </c>
      <c r="I176" s="132" t="s">
        <v>2526</v>
      </c>
      <c r="J176" s="130" t="s">
        <v>98</v>
      </c>
      <c r="K176" s="130" t="s">
        <v>2638</v>
      </c>
      <c r="L176" s="148" t="s">
        <v>155</v>
      </c>
      <c r="M176" s="130"/>
      <c r="N176" s="130"/>
      <c r="O176" s="130"/>
    </row>
    <row r="177" spans="1:15" ht="16.5">
      <c r="A177" s="481">
        <v>45866</v>
      </c>
      <c r="B177" s="482" t="s">
        <v>2513</v>
      </c>
      <c r="C177" s="482" t="s">
        <v>2344</v>
      </c>
      <c r="D177" s="482" t="s">
        <v>120</v>
      </c>
      <c r="E177" s="379">
        <v>6000</v>
      </c>
      <c r="F177" s="358">
        <f t="shared" si="5"/>
        <v>11.157513971996872</v>
      </c>
      <c r="G177" s="491">
        <v>537.75419999999997</v>
      </c>
      <c r="H177" s="482" t="s">
        <v>217</v>
      </c>
      <c r="I177" s="132" t="s">
        <v>2527</v>
      </c>
      <c r="J177" s="130" t="s">
        <v>98</v>
      </c>
      <c r="K177" s="130" t="s">
        <v>2638</v>
      </c>
      <c r="L177" s="148" t="s">
        <v>155</v>
      </c>
      <c r="M177" s="130"/>
      <c r="N177" s="130"/>
      <c r="O177" s="130"/>
    </row>
    <row r="178" spans="1:15" ht="16.5">
      <c r="A178" s="481">
        <v>45866</v>
      </c>
      <c r="B178" s="482" t="s">
        <v>2528</v>
      </c>
      <c r="C178" s="482" t="s">
        <v>175</v>
      </c>
      <c r="D178" s="482" t="s">
        <v>117</v>
      </c>
      <c r="E178" s="482">
        <v>1000</v>
      </c>
      <c r="F178" s="358">
        <f t="shared" si="5"/>
        <v>1.8595856619994786</v>
      </c>
      <c r="G178" s="491">
        <v>537.75419999999997</v>
      </c>
      <c r="H178" s="482" t="s">
        <v>190</v>
      </c>
      <c r="I178" s="130" t="s">
        <v>2530</v>
      </c>
      <c r="J178" s="130" t="s">
        <v>98</v>
      </c>
      <c r="K178" s="130" t="s">
        <v>2638</v>
      </c>
      <c r="L178" s="148" t="s">
        <v>155</v>
      </c>
      <c r="M178" s="130"/>
      <c r="N178" s="130"/>
      <c r="O178" s="130"/>
    </row>
    <row r="179" spans="1:15" ht="16.5">
      <c r="A179" s="481">
        <v>45866</v>
      </c>
      <c r="B179" s="482" t="s">
        <v>2529</v>
      </c>
      <c r="C179" s="482" t="s">
        <v>175</v>
      </c>
      <c r="D179" s="482" t="s">
        <v>117</v>
      </c>
      <c r="E179" s="482">
        <v>1000</v>
      </c>
      <c r="F179" s="358">
        <f t="shared" si="5"/>
        <v>1.8595856619994786</v>
      </c>
      <c r="G179" s="491">
        <v>537.75419999999997</v>
      </c>
      <c r="H179" s="482" t="s">
        <v>190</v>
      </c>
      <c r="I179" s="130" t="s">
        <v>2530</v>
      </c>
      <c r="J179" s="130" t="s">
        <v>98</v>
      </c>
      <c r="K179" s="130" t="s">
        <v>2638</v>
      </c>
      <c r="L179" s="148" t="s">
        <v>155</v>
      </c>
      <c r="M179" s="130"/>
      <c r="N179" s="130"/>
      <c r="O179" s="130"/>
    </row>
    <row r="180" spans="1:15" ht="16.5">
      <c r="A180" s="481">
        <v>45866</v>
      </c>
      <c r="B180" s="404" t="s">
        <v>2605</v>
      </c>
      <c r="C180" s="183" t="s">
        <v>123</v>
      </c>
      <c r="D180" s="183" t="s">
        <v>117</v>
      </c>
      <c r="E180" s="478">
        <v>300000</v>
      </c>
      <c r="F180" s="358">
        <f t="shared" si="5"/>
        <v>557.87569859984364</v>
      </c>
      <c r="G180" s="491">
        <v>537.75419999999997</v>
      </c>
      <c r="H180" s="482" t="s">
        <v>148</v>
      </c>
      <c r="I180" s="130" t="s">
        <v>2606</v>
      </c>
      <c r="J180" s="130" t="s">
        <v>98</v>
      </c>
      <c r="K180" s="130" t="s">
        <v>2638</v>
      </c>
      <c r="L180" s="148" t="s">
        <v>155</v>
      </c>
      <c r="M180" s="130"/>
      <c r="N180" s="130"/>
      <c r="O180" s="130"/>
    </row>
    <row r="181" spans="1:15" ht="16.5">
      <c r="A181" s="481">
        <v>45867</v>
      </c>
      <c r="B181" s="321" t="s">
        <v>2355</v>
      </c>
      <c r="C181" s="322" t="s">
        <v>175</v>
      </c>
      <c r="D181" s="323" t="s">
        <v>119</v>
      </c>
      <c r="E181" s="321">
        <v>1000</v>
      </c>
      <c r="F181" s="358">
        <f t="shared" si="5"/>
        <v>1.8595856619994786</v>
      </c>
      <c r="G181" s="491">
        <v>537.75419999999997</v>
      </c>
      <c r="H181" s="325" t="s">
        <v>153</v>
      </c>
      <c r="I181" s="326" t="s">
        <v>2373</v>
      </c>
      <c r="J181" s="130" t="s">
        <v>98</v>
      </c>
      <c r="K181" s="130" t="s">
        <v>2638</v>
      </c>
      <c r="L181" s="148" t="s">
        <v>155</v>
      </c>
      <c r="M181" s="130"/>
      <c r="N181" s="130"/>
      <c r="O181" s="130"/>
    </row>
    <row r="182" spans="1:15" ht="16.5">
      <c r="A182" s="481">
        <v>45867</v>
      </c>
      <c r="B182" s="321" t="s">
        <v>2356</v>
      </c>
      <c r="C182" s="322" t="s">
        <v>175</v>
      </c>
      <c r="D182" s="323" t="s">
        <v>119</v>
      </c>
      <c r="E182" s="321">
        <v>1000</v>
      </c>
      <c r="F182" s="358">
        <f t="shared" si="5"/>
        <v>1.8595856619994786</v>
      </c>
      <c r="G182" s="491">
        <v>537.75419999999997</v>
      </c>
      <c r="H182" s="325" t="s">
        <v>153</v>
      </c>
      <c r="I182" s="326" t="s">
        <v>2373</v>
      </c>
      <c r="J182" s="130" t="s">
        <v>98</v>
      </c>
      <c r="K182" s="130" t="s">
        <v>2638</v>
      </c>
      <c r="L182" s="148" t="s">
        <v>155</v>
      </c>
      <c r="M182" s="130"/>
      <c r="N182" s="130"/>
      <c r="O182" s="130"/>
    </row>
    <row r="183" spans="1:15" ht="16.5">
      <c r="A183" s="481">
        <v>45867</v>
      </c>
      <c r="B183" s="482" t="s">
        <v>2426</v>
      </c>
      <c r="C183" s="482" t="s">
        <v>175</v>
      </c>
      <c r="D183" s="482" t="s">
        <v>118</v>
      </c>
      <c r="E183" s="379">
        <v>1000</v>
      </c>
      <c r="F183" s="358">
        <f t="shared" si="5"/>
        <v>1.8595856619994786</v>
      </c>
      <c r="G183" s="491">
        <v>537.75419999999997</v>
      </c>
      <c r="H183" s="482" t="s">
        <v>643</v>
      </c>
      <c r="I183" s="130" t="s">
        <v>2434</v>
      </c>
      <c r="J183" s="130" t="s">
        <v>98</v>
      </c>
      <c r="K183" s="130" t="s">
        <v>2638</v>
      </c>
      <c r="L183" s="148" t="s">
        <v>155</v>
      </c>
      <c r="M183" s="130"/>
      <c r="N183" s="130"/>
      <c r="O183" s="130"/>
    </row>
    <row r="184" spans="1:15" ht="16.5">
      <c r="A184" s="481">
        <v>45867</v>
      </c>
      <c r="B184" s="482" t="s">
        <v>2427</v>
      </c>
      <c r="C184" s="482" t="s">
        <v>175</v>
      </c>
      <c r="D184" s="482" t="s">
        <v>118</v>
      </c>
      <c r="E184" s="379">
        <v>1000</v>
      </c>
      <c r="F184" s="358">
        <f t="shared" si="5"/>
        <v>1.8595856619994786</v>
      </c>
      <c r="G184" s="491">
        <v>537.75419999999997</v>
      </c>
      <c r="H184" s="482" t="s">
        <v>643</v>
      </c>
      <c r="I184" s="130" t="s">
        <v>2434</v>
      </c>
      <c r="J184" s="130" t="s">
        <v>98</v>
      </c>
      <c r="K184" s="130" t="s">
        <v>2638</v>
      </c>
      <c r="L184" s="148" t="s">
        <v>155</v>
      </c>
      <c r="M184" s="130"/>
      <c r="N184" s="130"/>
      <c r="O184" s="130"/>
    </row>
    <row r="185" spans="1:15" ht="16.5">
      <c r="A185" s="481">
        <v>45867</v>
      </c>
      <c r="B185" s="482" t="s">
        <v>2428</v>
      </c>
      <c r="C185" s="183" t="s">
        <v>123</v>
      </c>
      <c r="D185" s="183" t="s">
        <v>117</v>
      </c>
      <c r="E185" s="379">
        <v>115000</v>
      </c>
      <c r="F185" s="358">
        <f t="shared" ref="F185:F210" si="6">E185/G185</f>
        <v>213.85235112994005</v>
      </c>
      <c r="G185" s="491">
        <v>537.75419999999997</v>
      </c>
      <c r="H185" s="482" t="s">
        <v>643</v>
      </c>
      <c r="I185" s="130" t="s">
        <v>2445</v>
      </c>
      <c r="J185" s="130" t="s">
        <v>98</v>
      </c>
      <c r="K185" s="130" t="s">
        <v>2638</v>
      </c>
      <c r="L185" s="148" t="s">
        <v>155</v>
      </c>
      <c r="M185" s="130"/>
      <c r="N185" s="130"/>
      <c r="O185" s="130"/>
    </row>
    <row r="186" spans="1:15" ht="16.5">
      <c r="A186" s="481">
        <v>45867</v>
      </c>
      <c r="B186" s="482" t="s">
        <v>1732</v>
      </c>
      <c r="C186" s="482" t="s">
        <v>172</v>
      </c>
      <c r="D186" s="482" t="s">
        <v>118</v>
      </c>
      <c r="E186" s="379">
        <v>300000</v>
      </c>
      <c r="F186" s="358">
        <f t="shared" si="6"/>
        <v>557.87569859984364</v>
      </c>
      <c r="G186" s="491">
        <v>537.75419999999997</v>
      </c>
      <c r="H186" s="482" t="s">
        <v>643</v>
      </c>
      <c r="I186" s="130" t="s">
        <v>2446</v>
      </c>
      <c r="J186" s="130" t="s">
        <v>98</v>
      </c>
      <c r="K186" s="130" t="s">
        <v>2638</v>
      </c>
      <c r="L186" s="148" t="s">
        <v>155</v>
      </c>
      <c r="M186" s="130"/>
      <c r="N186" s="130"/>
      <c r="O186" s="130"/>
    </row>
    <row r="187" spans="1:15" ht="16.5">
      <c r="A187" s="481">
        <v>45867</v>
      </c>
      <c r="B187" s="482" t="s">
        <v>610</v>
      </c>
      <c r="C187" s="482" t="s">
        <v>172</v>
      </c>
      <c r="D187" s="482" t="s">
        <v>118</v>
      </c>
      <c r="E187" s="379">
        <v>25000</v>
      </c>
      <c r="F187" s="358">
        <f t="shared" si="6"/>
        <v>46.48964154998697</v>
      </c>
      <c r="G187" s="491">
        <v>537.75419999999997</v>
      </c>
      <c r="H187" s="482" t="s">
        <v>193</v>
      </c>
      <c r="I187" s="130" t="s">
        <v>2465</v>
      </c>
      <c r="J187" s="130" t="s">
        <v>98</v>
      </c>
      <c r="K187" s="130" t="s">
        <v>2638</v>
      </c>
      <c r="L187" s="148" t="s">
        <v>155</v>
      </c>
      <c r="M187" s="130"/>
      <c r="N187" s="130"/>
      <c r="O187" s="130"/>
    </row>
    <row r="188" spans="1:15" ht="16.5">
      <c r="A188" s="481">
        <v>45867</v>
      </c>
      <c r="B188" s="482" t="s">
        <v>2514</v>
      </c>
      <c r="C188" s="185" t="s">
        <v>175</v>
      </c>
      <c r="D188" s="492" t="s">
        <v>120</v>
      </c>
      <c r="E188" s="490">
        <v>1000</v>
      </c>
      <c r="F188" s="358">
        <f t="shared" si="6"/>
        <v>1.8595856619994786</v>
      </c>
      <c r="G188" s="491">
        <v>537.75419999999997</v>
      </c>
      <c r="H188" s="482" t="s">
        <v>217</v>
      </c>
      <c r="I188" s="130" t="s">
        <v>2523</v>
      </c>
      <c r="J188" s="130" t="s">
        <v>98</v>
      </c>
      <c r="K188" s="130" t="s">
        <v>2638</v>
      </c>
      <c r="L188" s="148" t="s">
        <v>155</v>
      </c>
      <c r="M188" s="130"/>
      <c r="N188" s="130"/>
      <c r="O188" s="130"/>
    </row>
    <row r="189" spans="1:15" ht="16.5">
      <c r="A189" s="481">
        <v>45867</v>
      </c>
      <c r="B189" s="482" t="s">
        <v>2515</v>
      </c>
      <c r="C189" s="185" t="s">
        <v>175</v>
      </c>
      <c r="D189" s="492" t="s">
        <v>120</v>
      </c>
      <c r="E189" s="490">
        <v>1000</v>
      </c>
      <c r="F189" s="358">
        <f t="shared" si="6"/>
        <v>1.8595856619994786</v>
      </c>
      <c r="G189" s="491">
        <v>537.75419999999997</v>
      </c>
      <c r="H189" s="482" t="s">
        <v>217</v>
      </c>
      <c r="I189" s="130" t="s">
        <v>2523</v>
      </c>
      <c r="J189" s="130" t="s">
        <v>98</v>
      </c>
      <c r="K189" s="130" t="s">
        <v>2638</v>
      </c>
      <c r="L189" s="148" t="s">
        <v>155</v>
      </c>
      <c r="M189" s="130"/>
      <c r="N189" s="130"/>
      <c r="O189" s="130"/>
    </row>
    <row r="190" spans="1:15" ht="16.5">
      <c r="A190" s="481">
        <v>45867</v>
      </c>
      <c r="B190" s="482" t="s">
        <v>2516</v>
      </c>
      <c r="C190" s="185" t="s">
        <v>175</v>
      </c>
      <c r="D190" s="492" t="s">
        <v>120</v>
      </c>
      <c r="E190" s="490">
        <v>1000</v>
      </c>
      <c r="F190" s="358">
        <f t="shared" si="6"/>
        <v>1.8595856619994786</v>
      </c>
      <c r="G190" s="491">
        <v>537.75419999999997</v>
      </c>
      <c r="H190" s="482" t="s">
        <v>217</v>
      </c>
      <c r="I190" s="130" t="s">
        <v>2523</v>
      </c>
      <c r="J190" s="130" t="s">
        <v>98</v>
      </c>
      <c r="K190" s="130" t="s">
        <v>2638</v>
      </c>
      <c r="L190" s="148" t="s">
        <v>155</v>
      </c>
      <c r="M190" s="130"/>
      <c r="N190" s="130"/>
      <c r="O190" s="130"/>
    </row>
    <row r="191" spans="1:15" ht="16.5">
      <c r="A191" s="481">
        <v>45867</v>
      </c>
      <c r="B191" s="482" t="s">
        <v>2517</v>
      </c>
      <c r="C191" s="185" t="s">
        <v>175</v>
      </c>
      <c r="D191" s="492" t="s">
        <v>120</v>
      </c>
      <c r="E191" s="490">
        <v>1000</v>
      </c>
      <c r="F191" s="358">
        <f t="shared" si="6"/>
        <v>1.8595856619994786</v>
      </c>
      <c r="G191" s="491">
        <v>537.75419999999997</v>
      </c>
      <c r="H191" s="482" t="s">
        <v>217</v>
      </c>
      <c r="I191" s="130" t="s">
        <v>2523</v>
      </c>
      <c r="J191" s="130" t="s">
        <v>98</v>
      </c>
      <c r="K191" s="130" t="s">
        <v>2638</v>
      </c>
      <c r="L191" s="148" t="s">
        <v>155</v>
      </c>
      <c r="M191" s="130"/>
      <c r="N191" s="130"/>
      <c r="O191" s="130"/>
    </row>
    <row r="192" spans="1:15" ht="16.5">
      <c r="A192" s="481">
        <v>45867</v>
      </c>
      <c r="B192" s="482" t="s">
        <v>2518</v>
      </c>
      <c r="C192" s="185" t="s">
        <v>175</v>
      </c>
      <c r="D192" s="492" t="s">
        <v>120</v>
      </c>
      <c r="E192" s="490">
        <v>1000</v>
      </c>
      <c r="F192" s="358">
        <f t="shared" si="6"/>
        <v>1.8595856619994786</v>
      </c>
      <c r="G192" s="491">
        <v>537.75419999999997</v>
      </c>
      <c r="H192" s="482" t="s">
        <v>217</v>
      </c>
      <c r="I192" s="130" t="s">
        <v>2523</v>
      </c>
      <c r="J192" s="130" t="s">
        <v>98</v>
      </c>
      <c r="K192" s="130" t="s">
        <v>2638</v>
      </c>
      <c r="L192" s="148" t="s">
        <v>155</v>
      </c>
      <c r="M192" s="130"/>
      <c r="N192" s="130"/>
      <c r="O192" s="130"/>
    </row>
    <row r="193" spans="1:15" ht="16.5">
      <c r="A193" s="481">
        <v>45867</v>
      </c>
      <c r="B193" s="482" t="s">
        <v>2519</v>
      </c>
      <c r="C193" s="185" t="s">
        <v>175</v>
      </c>
      <c r="D193" s="492" t="s">
        <v>120</v>
      </c>
      <c r="E193" s="490">
        <v>1000</v>
      </c>
      <c r="F193" s="358">
        <f t="shared" si="6"/>
        <v>1.8595856619994786</v>
      </c>
      <c r="G193" s="491">
        <v>537.75419999999997</v>
      </c>
      <c r="H193" s="482" t="s">
        <v>217</v>
      </c>
      <c r="I193" s="130" t="s">
        <v>2523</v>
      </c>
      <c r="J193" s="130" t="s">
        <v>98</v>
      </c>
      <c r="K193" s="130" t="s">
        <v>2638</v>
      </c>
      <c r="L193" s="148" t="s">
        <v>155</v>
      </c>
      <c r="M193" s="130"/>
      <c r="N193" s="130"/>
      <c r="O193" s="130"/>
    </row>
    <row r="194" spans="1:15" ht="16.5">
      <c r="A194" s="481">
        <v>45867</v>
      </c>
      <c r="B194" s="482" t="s">
        <v>2520</v>
      </c>
      <c r="C194" s="185" t="s">
        <v>175</v>
      </c>
      <c r="D194" s="492" t="s">
        <v>120</v>
      </c>
      <c r="E194" s="490">
        <v>1000</v>
      </c>
      <c r="F194" s="358">
        <f t="shared" si="6"/>
        <v>1.8595856619994786</v>
      </c>
      <c r="G194" s="491">
        <v>537.75419999999997</v>
      </c>
      <c r="H194" s="482" t="s">
        <v>217</v>
      </c>
      <c r="I194" s="130" t="s">
        <v>2523</v>
      </c>
      <c r="J194" s="130" t="s">
        <v>98</v>
      </c>
      <c r="K194" s="130" t="s">
        <v>2638</v>
      </c>
      <c r="L194" s="148" t="s">
        <v>155</v>
      </c>
      <c r="M194" s="130"/>
      <c r="N194" s="130"/>
      <c r="O194" s="130"/>
    </row>
    <row r="195" spans="1:15" ht="16.5">
      <c r="A195" s="481">
        <v>45868</v>
      </c>
      <c r="B195" s="321" t="s">
        <v>2355</v>
      </c>
      <c r="C195" s="322" t="s">
        <v>175</v>
      </c>
      <c r="D195" s="323" t="s">
        <v>119</v>
      </c>
      <c r="E195" s="321">
        <v>1000</v>
      </c>
      <c r="F195" s="358">
        <f t="shared" si="6"/>
        <v>1.8595856619994786</v>
      </c>
      <c r="G195" s="491">
        <v>537.75419999999997</v>
      </c>
      <c r="H195" s="325" t="s">
        <v>153</v>
      </c>
      <c r="I195" s="326" t="s">
        <v>2373</v>
      </c>
      <c r="J195" s="130" t="s">
        <v>98</v>
      </c>
      <c r="K195" s="130" t="s">
        <v>2638</v>
      </c>
      <c r="L195" s="148" t="s">
        <v>155</v>
      </c>
      <c r="M195" s="130"/>
      <c r="N195" s="130"/>
      <c r="O195" s="130"/>
    </row>
    <row r="196" spans="1:15" ht="16.5">
      <c r="A196" s="481">
        <v>45868</v>
      </c>
      <c r="B196" s="321" t="s">
        <v>2356</v>
      </c>
      <c r="C196" s="322" t="s">
        <v>175</v>
      </c>
      <c r="D196" s="323" t="s">
        <v>119</v>
      </c>
      <c r="E196" s="321">
        <v>1000</v>
      </c>
      <c r="F196" s="358">
        <f t="shared" si="6"/>
        <v>1.8595856619994786</v>
      </c>
      <c r="G196" s="491">
        <v>537.75419999999997</v>
      </c>
      <c r="H196" s="325" t="s">
        <v>153</v>
      </c>
      <c r="I196" s="326" t="s">
        <v>2373</v>
      </c>
      <c r="J196" s="130" t="s">
        <v>98</v>
      </c>
      <c r="K196" s="130" t="s">
        <v>2638</v>
      </c>
      <c r="L196" s="148" t="s">
        <v>155</v>
      </c>
      <c r="M196" s="130"/>
      <c r="N196" s="130"/>
      <c r="O196" s="130"/>
    </row>
    <row r="197" spans="1:15" ht="16.5">
      <c r="A197" s="481">
        <v>45868</v>
      </c>
      <c r="B197" s="482" t="s">
        <v>2429</v>
      </c>
      <c r="C197" s="482" t="s">
        <v>175</v>
      </c>
      <c r="D197" s="482" t="s">
        <v>118</v>
      </c>
      <c r="E197" s="379">
        <v>1000</v>
      </c>
      <c r="F197" s="358">
        <f t="shared" si="6"/>
        <v>1.8595856619994786</v>
      </c>
      <c r="G197" s="491">
        <v>537.75419999999997</v>
      </c>
      <c r="H197" s="482" t="s">
        <v>643</v>
      </c>
      <c r="I197" s="130" t="s">
        <v>2434</v>
      </c>
      <c r="J197" s="130" t="s">
        <v>98</v>
      </c>
      <c r="K197" s="130" t="s">
        <v>2638</v>
      </c>
      <c r="L197" s="148" t="s">
        <v>155</v>
      </c>
      <c r="M197" s="130"/>
      <c r="N197" s="130"/>
      <c r="O197" s="130"/>
    </row>
    <row r="198" spans="1:15" ht="16.5">
      <c r="A198" s="481">
        <v>45868</v>
      </c>
      <c r="B198" s="482" t="s">
        <v>2430</v>
      </c>
      <c r="C198" s="482" t="s">
        <v>175</v>
      </c>
      <c r="D198" s="482" t="s">
        <v>118</v>
      </c>
      <c r="E198" s="379">
        <v>1000</v>
      </c>
      <c r="F198" s="358">
        <f t="shared" si="6"/>
        <v>1.8595856619994786</v>
      </c>
      <c r="G198" s="491">
        <v>537.75419999999997</v>
      </c>
      <c r="H198" s="482" t="s">
        <v>643</v>
      </c>
      <c r="I198" s="130" t="s">
        <v>2434</v>
      </c>
      <c r="J198" s="130" t="s">
        <v>98</v>
      </c>
      <c r="K198" s="130" t="s">
        <v>2638</v>
      </c>
      <c r="L198" s="148" t="s">
        <v>155</v>
      </c>
      <c r="M198" s="130"/>
      <c r="N198" s="130"/>
      <c r="O198" s="130"/>
    </row>
    <row r="199" spans="1:15" ht="16.5">
      <c r="A199" s="481">
        <v>45868</v>
      </c>
      <c r="B199" s="482" t="s">
        <v>2431</v>
      </c>
      <c r="C199" s="482" t="s">
        <v>686</v>
      </c>
      <c r="D199" s="482" t="s">
        <v>118</v>
      </c>
      <c r="E199" s="379">
        <v>45050</v>
      </c>
      <c r="F199" s="358">
        <f t="shared" si="6"/>
        <v>83.774334073076517</v>
      </c>
      <c r="G199" s="491">
        <v>537.75419999999997</v>
      </c>
      <c r="H199" s="482" t="s">
        <v>643</v>
      </c>
      <c r="I199" s="130" t="s">
        <v>2447</v>
      </c>
      <c r="J199" s="130" t="s">
        <v>98</v>
      </c>
      <c r="K199" s="130" t="s">
        <v>2638</v>
      </c>
      <c r="L199" s="148" t="s">
        <v>155</v>
      </c>
      <c r="M199" s="130"/>
      <c r="N199" s="130"/>
      <c r="O199" s="130"/>
    </row>
    <row r="200" spans="1:15" ht="16.5">
      <c r="A200" s="481">
        <v>45868</v>
      </c>
      <c r="B200" s="404" t="s">
        <v>2607</v>
      </c>
      <c r="C200" s="183" t="s">
        <v>127</v>
      </c>
      <c r="D200" s="183" t="s">
        <v>121</v>
      </c>
      <c r="E200" s="478">
        <v>370000</v>
      </c>
      <c r="F200" s="358">
        <f t="shared" si="6"/>
        <v>688.04669493980714</v>
      </c>
      <c r="G200" s="491">
        <v>537.75419999999997</v>
      </c>
      <c r="H200" s="482" t="s">
        <v>148</v>
      </c>
      <c r="I200" s="130" t="s">
        <v>2608</v>
      </c>
      <c r="J200" s="130" t="s">
        <v>98</v>
      </c>
      <c r="K200" s="130" t="s">
        <v>2638</v>
      </c>
      <c r="L200" s="148" t="s">
        <v>155</v>
      </c>
      <c r="M200" s="130"/>
      <c r="N200" s="130"/>
      <c r="O200" s="130"/>
    </row>
    <row r="201" spans="1:15" ht="16.5">
      <c r="A201" s="481">
        <v>45868</v>
      </c>
      <c r="B201" s="404" t="s">
        <v>2609</v>
      </c>
      <c r="C201" s="183"/>
      <c r="D201" s="183" t="s">
        <v>121</v>
      </c>
      <c r="E201" s="478">
        <v>225000</v>
      </c>
      <c r="F201" s="358">
        <f t="shared" si="6"/>
        <v>418.40677394988268</v>
      </c>
      <c r="G201" s="491">
        <v>537.75419999999997</v>
      </c>
      <c r="H201" s="482" t="s">
        <v>148</v>
      </c>
      <c r="I201" s="130" t="s">
        <v>2610</v>
      </c>
      <c r="J201" s="130" t="s">
        <v>98</v>
      </c>
      <c r="K201" s="130" t="s">
        <v>2638</v>
      </c>
      <c r="L201" s="148" t="s">
        <v>155</v>
      </c>
      <c r="M201" s="130"/>
      <c r="N201" s="130"/>
      <c r="O201" s="130"/>
    </row>
    <row r="202" spans="1:15" ht="16.5">
      <c r="A202" s="481">
        <v>45869</v>
      </c>
      <c r="B202" s="321" t="s">
        <v>2355</v>
      </c>
      <c r="C202" s="322" t="s">
        <v>175</v>
      </c>
      <c r="D202" s="323" t="s">
        <v>119</v>
      </c>
      <c r="E202" s="321">
        <v>1000</v>
      </c>
      <c r="F202" s="358">
        <f t="shared" si="6"/>
        <v>1.8595856619994786</v>
      </c>
      <c r="G202" s="491">
        <v>537.75419999999997</v>
      </c>
      <c r="H202" s="325" t="s">
        <v>153</v>
      </c>
      <c r="I202" s="326" t="s">
        <v>2373</v>
      </c>
      <c r="J202" s="130" t="s">
        <v>98</v>
      </c>
      <c r="K202" s="130" t="s">
        <v>2638</v>
      </c>
      <c r="L202" s="148" t="s">
        <v>155</v>
      </c>
      <c r="M202" s="130"/>
      <c r="N202" s="130"/>
      <c r="O202" s="130"/>
    </row>
    <row r="203" spans="1:15" ht="16.5">
      <c r="A203" s="481">
        <v>45869</v>
      </c>
      <c r="B203" s="321" t="s">
        <v>2356</v>
      </c>
      <c r="C203" s="322" t="s">
        <v>175</v>
      </c>
      <c r="D203" s="323" t="s">
        <v>119</v>
      </c>
      <c r="E203" s="321">
        <v>1000</v>
      </c>
      <c r="F203" s="358">
        <f t="shared" si="6"/>
        <v>1.8595856619994786</v>
      </c>
      <c r="G203" s="491">
        <v>537.75419999999997</v>
      </c>
      <c r="H203" s="325" t="s">
        <v>153</v>
      </c>
      <c r="I203" s="326" t="s">
        <v>2373</v>
      </c>
      <c r="J203" s="130" t="s">
        <v>98</v>
      </c>
      <c r="K203" s="130" t="s">
        <v>2638</v>
      </c>
      <c r="L203" s="148" t="s">
        <v>155</v>
      </c>
      <c r="M203" s="190"/>
      <c r="N203" s="190"/>
      <c r="O203" s="190"/>
    </row>
    <row r="204" spans="1:15" ht="16.5">
      <c r="A204" s="481">
        <v>45869</v>
      </c>
      <c r="B204" s="482" t="s">
        <v>2432</v>
      </c>
      <c r="C204" s="482" t="s">
        <v>175</v>
      </c>
      <c r="D204" s="482" t="s">
        <v>118</v>
      </c>
      <c r="E204" s="379">
        <v>1000</v>
      </c>
      <c r="F204" s="358">
        <f t="shared" si="6"/>
        <v>1.8595856619994786</v>
      </c>
      <c r="G204" s="491">
        <v>537.75419999999997</v>
      </c>
      <c r="H204" s="482" t="s">
        <v>643</v>
      </c>
      <c r="I204" s="130" t="s">
        <v>2434</v>
      </c>
      <c r="J204" s="130" t="s">
        <v>98</v>
      </c>
      <c r="K204" s="130" t="s">
        <v>2638</v>
      </c>
      <c r="L204" s="148" t="s">
        <v>155</v>
      </c>
      <c r="M204" s="130"/>
      <c r="N204" s="130"/>
      <c r="O204" s="130"/>
    </row>
    <row r="205" spans="1:15" ht="16.5">
      <c r="A205" s="481">
        <v>45869</v>
      </c>
      <c r="B205" s="482" t="s">
        <v>2433</v>
      </c>
      <c r="C205" s="482" t="s">
        <v>175</v>
      </c>
      <c r="D205" s="482" t="s">
        <v>118</v>
      </c>
      <c r="E205" s="379">
        <v>1000</v>
      </c>
      <c r="F205" s="358">
        <f t="shared" si="6"/>
        <v>1.8595856619994786</v>
      </c>
      <c r="G205" s="491">
        <v>537.75419999999997</v>
      </c>
      <c r="H205" s="482" t="s">
        <v>643</v>
      </c>
      <c r="I205" s="130" t="s">
        <v>2434</v>
      </c>
      <c r="J205" s="130" t="s">
        <v>98</v>
      </c>
      <c r="K205" s="130" t="s">
        <v>2638</v>
      </c>
      <c r="L205" s="148" t="s">
        <v>155</v>
      </c>
      <c r="M205" s="130"/>
      <c r="N205" s="130"/>
      <c r="O205" s="130"/>
    </row>
    <row r="206" spans="1:15" ht="16.5">
      <c r="A206" s="481">
        <v>45869</v>
      </c>
      <c r="B206" s="482" t="s">
        <v>2650</v>
      </c>
      <c r="C206" s="482" t="s">
        <v>152</v>
      </c>
      <c r="D206" s="482" t="s">
        <v>117</v>
      </c>
      <c r="E206" s="379">
        <v>5000</v>
      </c>
      <c r="F206" s="358">
        <f t="shared" si="6"/>
        <v>9.2979283099973937</v>
      </c>
      <c r="G206" s="491">
        <v>537.75419999999997</v>
      </c>
      <c r="H206" s="482" t="s">
        <v>193</v>
      </c>
      <c r="I206" s="130" t="s">
        <v>2466</v>
      </c>
      <c r="J206" s="130" t="s">
        <v>98</v>
      </c>
      <c r="K206" s="130" t="s">
        <v>2638</v>
      </c>
      <c r="L206" s="148" t="s">
        <v>155</v>
      </c>
      <c r="M206" s="130"/>
      <c r="N206" s="130"/>
      <c r="O206" s="130"/>
    </row>
    <row r="207" spans="1:15" ht="16.5">
      <c r="A207" s="481">
        <v>45869</v>
      </c>
      <c r="B207" s="185" t="s">
        <v>2652</v>
      </c>
      <c r="C207" s="185" t="s">
        <v>152</v>
      </c>
      <c r="D207" s="185" t="s">
        <v>117</v>
      </c>
      <c r="E207" s="379">
        <v>5000</v>
      </c>
      <c r="F207" s="358">
        <f t="shared" si="6"/>
        <v>9.2979283099973937</v>
      </c>
      <c r="G207" s="491">
        <v>537.75419999999997</v>
      </c>
      <c r="H207" s="185" t="s">
        <v>196</v>
      </c>
      <c r="I207" s="185" t="s">
        <v>2484</v>
      </c>
      <c r="J207" s="130" t="s">
        <v>98</v>
      </c>
      <c r="K207" s="130" t="s">
        <v>2638</v>
      </c>
      <c r="L207" s="148" t="s">
        <v>155</v>
      </c>
      <c r="M207" s="130"/>
      <c r="N207" s="130"/>
      <c r="O207" s="130"/>
    </row>
    <row r="208" spans="1:15" ht="16.5">
      <c r="A208" s="481">
        <v>45869</v>
      </c>
      <c r="B208" s="185" t="s">
        <v>2477</v>
      </c>
      <c r="C208" s="185" t="s">
        <v>175</v>
      </c>
      <c r="D208" s="185" t="s">
        <v>117</v>
      </c>
      <c r="E208" s="379">
        <v>1000</v>
      </c>
      <c r="F208" s="358">
        <f t="shared" si="6"/>
        <v>1.8595856619994786</v>
      </c>
      <c r="G208" s="491">
        <v>537.75419999999997</v>
      </c>
      <c r="H208" s="185" t="s">
        <v>196</v>
      </c>
      <c r="I208" s="185" t="s">
        <v>2480</v>
      </c>
      <c r="J208" s="130" t="s">
        <v>98</v>
      </c>
      <c r="K208" s="130" t="s">
        <v>2638</v>
      </c>
      <c r="L208" s="148" t="s">
        <v>155</v>
      </c>
      <c r="M208" s="130"/>
      <c r="N208" s="130"/>
      <c r="O208" s="130"/>
    </row>
    <row r="209" spans="1:15" ht="16.5">
      <c r="A209" s="481">
        <v>45869</v>
      </c>
      <c r="B209" s="185" t="s">
        <v>2478</v>
      </c>
      <c r="C209" s="262" t="s">
        <v>175</v>
      </c>
      <c r="D209" s="185" t="s">
        <v>117</v>
      </c>
      <c r="E209" s="379">
        <v>1000</v>
      </c>
      <c r="F209" s="358">
        <f t="shared" si="6"/>
        <v>1.8595856619994786</v>
      </c>
      <c r="G209" s="491">
        <v>537.75419999999997</v>
      </c>
      <c r="H209" s="185" t="s">
        <v>196</v>
      </c>
      <c r="I209" s="185" t="s">
        <v>2480</v>
      </c>
      <c r="J209" s="130" t="s">
        <v>98</v>
      </c>
      <c r="K209" s="130" t="s">
        <v>2638</v>
      </c>
      <c r="L209" s="148" t="s">
        <v>155</v>
      </c>
      <c r="M209" s="130"/>
      <c r="N209" s="130"/>
      <c r="O209" s="130"/>
    </row>
    <row r="210" spans="1:15" ht="16.5">
      <c r="A210" s="481">
        <v>45869</v>
      </c>
      <c r="B210" s="265" t="s">
        <v>2651</v>
      </c>
      <c r="C210" s="482" t="s">
        <v>152</v>
      </c>
      <c r="D210" s="482" t="s">
        <v>117</v>
      </c>
      <c r="E210" s="482">
        <v>5000</v>
      </c>
      <c r="F210" s="358">
        <f t="shared" si="6"/>
        <v>9.2979283099973937</v>
      </c>
      <c r="G210" s="491">
        <v>537.75419999999997</v>
      </c>
      <c r="H210" s="482" t="s">
        <v>190</v>
      </c>
      <c r="I210" s="130" t="s">
        <v>2531</v>
      </c>
      <c r="J210" s="130" t="s">
        <v>98</v>
      </c>
      <c r="K210" s="130" t="s">
        <v>2638</v>
      </c>
      <c r="L210" s="148" t="s">
        <v>155</v>
      </c>
      <c r="M210" s="130"/>
      <c r="N210" s="130"/>
      <c r="O210" s="130"/>
    </row>
  </sheetData>
  <autoFilter ref="A1:O210">
    <sortState ref="A2:O210">
      <sortCondition ref="A1:A210"/>
    </sortState>
  </autoFilter>
  <phoneticPr fontId="28" type="noConversion"/>
  <dataValidations count="1">
    <dataValidation type="list" allowBlank="1" showInputMessage="1" showErrorMessage="1" sqref="C171:C173 C142 C139 C129"/>
  </dataValidation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6"/>
  <sheetViews>
    <sheetView topLeftCell="A262" zoomScale="85" zoomScaleNormal="85" workbookViewId="0">
      <selection activeCell="C290" sqref="C290"/>
    </sheetView>
  </sheetViews>
  <sheetFormatPr baseColWidth="10" defaultColWidth="8.75" defaultRowHeight="14.25"/>
  <cols>
    <col min="1" max="1" width="16.125" customWidth="1"/>
    <col min="2" max="2" width="78.75" customWidth="1"/>
    <col min="3" max="3" width="23.375" customWidth="1"/>
    <col min="4" max="7" width="17.125" style="71" customWidth="1"/>
    <col min="8" max="9" width="17.125" customWidth="1"/>
    <col min="10" max="10" width="13.75" customWidth="1"/>
  </cols>
  <sheetData>
    <row r="1" spans="1:11" ht="15.75">
      <c r="A1" s="138"/>
      <c r="B1" s="139"/>
      <c r="C1" s="140" t="s">
        <v>504</v>
      </c>
      <c r="D1" s="139"/>
      <c r="E1" s="141"/>
      <c r="F1" s="141"/>
      <c r="G1" s="141"/>
      <c r="H1" s="142"/>
      <c r="I1" s="139"/>
      <c r="J1" s="139"/>
      <c r="K1" s="139"/>
    </row>
    <row r="2" spans="1:11" ht="15.75">
      <c r="A2" s="138"/>
      <c r="B2" s="139"/>
      <c r="C2" s="139"/>
      <c r="D2" s="139"/>
      <c r="E2" s="141"/>
      <c r="F2" s="141"/>
      <c r="G2" s="141"/>
      <c r="H2" s="142"/>
      <c r="I2" s="139"/>
      <c r="J2" s="139"/>
      <c r="K2" s="139"/>
    </row>
    <row r="3" spans="1:11" ht="15.75">
      <c r="A3" s="143" t="s">
        <v>0</v>
      </c>
      <c r="B3" s="144" t="s">
        <v>505</v>
      </c>
      <c r="C3" s="144" t="s">
        <v>506</v>
      </c>
      <c r="D3" s="144" t="s">
        <v>507</v>
      </c>
      <c r="E3" s="145" t="s">
        <v>508</v>
      </c>
      <c r="F3" s="145" t="s">
        <v>509</v>
      </c>
      <c r="G3" s="145"/>
      <c r="H3" s="221" t="s">
        <v>30</v>
      </c>
      <c r="I3" s="144" t="s">
        <v>510</v>
      </c>
      <c r="J3" s="144" t="s">
        <v>511</v>
      </c>
      <c r="K3" s="146"/>
    </row>
    <row r="4" spans="1:11" ht="15.75">
      <c r="A4" s="176">
        <v>45839</v>
      </c>
      <c r="B4" s="235" t="s">
        <v>2450</v>
      </c>
      <c r="C4" s="183"/>
      <c r="D4" s="183"/>
      <c r="E4" s="186"/>
      <c r="F4" s="186"/>
      <c r="G4" s="186"/>
      <c r="H4" s="187">
        <v>-69729</v>
      </c>
      <c r="I4" s="188" t="s">
        <v>153</v>
      </c>
      <c r="J4" s="183"/>
      <c r="K4" s="189"/>
    </row>
    <row r="5" spans="1:11" ht="15.75">
      <c r="A5" s="320">
        <v>45839</v>
      </c>
      <c r="B5" s="321" t="s">
        <v>2355</v>
      </c>
      <c r="C5" s="322" t="s">
        <v>175</v>
      </c>
      <c r="D5" s="323" t="s">
        <v>119</v>
      </c>
      <c r="E5" s="321"/>
      <c r="F5" s="324">
        <v>1000</v>
      </c>
      <c r="G5" s="186"/>
      <c r="H5" s="327">
        <f>H4+E5-F5</f>
        <v>-70729</v>
      </c>
      <c r="I5" s="325" t="s">
        <v>153</v>
      </c>
      <c r="J5" s="326" t="s">
        <v>2373</v>
      </c>
      <c r="K5" s="189"/>
    </row>
    <row r="6" spans="1:11" ht="15.75">
      <c r="A6" s="320">
        <v>45839</v>
      </c>
      <c r="B6" s="321" t="s">
        <v>2356</v>
      </c>
      <c r="C6" s="322" t="s">
        <v>175</v>
      </c>
      <c r="D6" s="323" t="s">
        <v>119</v>
      </c>
      <c r="E6" s="321"/>
      <c r="F6" s="324">
        <v>1000</v>
      </c>
      <c r="G6" s="186"/>
      <c r="H6" s="327">
        <f t="shared" ref="H6:H69" si="0">H5+E6-F6</f>
        <v>-71729</v>
      </c>
      <c r="I6" s="325" t="s">
        <v>153</v>
      </c>
      <c r="J6" s="326" t="s">
        <v>2373</v>
      </c>
      <c r="K6" s="189"/>
    </row>
    <row r="7" spans="1:11" ht="15.75">
      <c r="A7" s="320">
        <v>45840</v>
      </c>
      <c r="B7" s="321" t="s">
        <v>2355</v>
      </c>
      <c r="C7" s="322" t="s">
        <v>175</v>
      </c>
      <c r="D7" s="323" t="s">
        <v>119</v>
      </c>
      <c r="E7" s="321"/>
      <c r="F7" s="324">
        <v>1000</v>
      </c>
      <c r="G7" s="186"/>
      <c r="H7" s="327">
        <f t="shared" si="0"/>
        <v>-72729</v>
      </c>
      <c r="I7" s="325" t="s">
        <v>153</v>
      </c>
      <c r="J7" s="326" t="s">
        <v>2373</v>
      </c>
      <c r="K7" s="189"/>
    </row>
    <row r="8" spans="1:11" ht="15.75">
      <c r="A8" s="320">
        <v>45840</v>
      </c>
      <c r="B8" s="321" t="s">
        <v>2356</v>
      </c>
      <c r="C8" s="322" t="s">
        <v>175</v>
      </c>
      <c r="D8" s="323" t="s">
        <v>119</v>
      </c>
      <c r="E8" s="321"/>
      <c r="F8" s="324">
        <v>1000</v>
      </c>
      <c r="G8" s="186"/>
      <c r="H8" s="327">
        <f t="shared" si="0"/>
        <v>-73729</v>
      </c>
      <c r="I8" s="325" t="s">
        <v>153</v>
      </c>
      <c r="J8" s="326" t="s">
        <v>2373</v>
      </c>
      <c r="K8" s="189"/>
    </row>
    <row r="9" spans="1:11" ht="15.75">
      <c r="A9" s="320">
        <v>45841</v>
      </c>
      <c r="B9" s="321" t="s">
        <v>2355</v>
      </c>
      <c r="C9" s="322" t="s">
        <v>175</v>
      </c>
      <c r="D9" s="323" t="s">
        <v>119</v>
      </c>
      <c r="E9" s="321"/>
      <c r="F9" s="324">
        <v>1000</v>
      </c>
      <c r="G9" s="186"/>
      <c r="H9" s="327">
        <f t="shared" si="0"/>
        <v>-74729</v>
      </c>
      <c r="I9" s="325" t="s">
        <v>153</v>
      </c>
      <c r="J9" s="326" t="s">
        <v>2373</v>
      </c>
      <c r="K9" s="189"/>
    </row>
    <row r="10" spans="1:11" ht="15.75">
      <c r="A10" s="320">
        <v>45841</v>
      </c>
      <c r="B10" s="321" t="s">
        <v>2356</v>
      </c>
      <c r="C10" s="322" t="s">
        <v>175</v>
      </c>
      <c r="D10" s="323" t="s">
        <v>119</v>
      </c>
      <c r="E10" s="321"/>
      <c r="F10" s="324">
        <v>1000</v>
      </c>
      <c r="G10" s="186"/>
      <c r="H10" s="327">
        <f t="shared" si="0"/>
        <v>-75729</v>
      </c>
      <c r="I10" s="325" t="s">
        <v>153</v>
      </c>
      <c r="J10" s="326" t="s">
        <v>2373</v>
      </c>
      <c r="K10" s="189"/>
    </row>
    <row r="11" spans="1:11" ht="15.75">
      <c r="A11" s="320">
        <v>45842</v>
      </c>
      <c r="B11" s="321" t="s">
        <v>2355</v>
      </c>
      <c r="C11" s="322" t="s">
        <v>175</v>
      </c>
      <c r="D11" s="323" t="s">
        <v>119</v>
      </c>
      <c r="E11" s="321"/>
      <c r="F11" s="324">
        <v>1000</v>
      </c>
      <c r="G11" s="186"/>
      <c r="H11" s="327">
        <f t="shared" si="0"/>
        <v>-76729</v>
      </c>
      <c r="I11" s="325" t="s">
        <v>153</v>
      </c>
      <c r="J11" s="326" t="s">
        <v>2373</v>
      </c>
      <c r="K11" s="189"/>
    </row>
    <row r="12" spans="1:11" ht="15.75">
      <c r="A12" s="320">
        <v>45842</v>
      </c>
      <c r="B12" s="321" t="s">
        <v>2356</v>
      </c>
      <c r="C12" s="322" t="s">
        <v>175</v>
      </c>
      <c r="D12" s="323" t="s">
        <v>119</v>
      </c>
      <c r="E12" s="321"/>
      <c r="F12" s="324">
        <v>1000</v>
      </c>
      <c r="G12" s="186"/>
      <c r="H12" s="327">
        <f t="shared" si="0"/>
        <v>-77729</v>
      </c>
      <c r="I12" s="325" t="s">
        <v>153</v>
      </c>
      <c r="J12" s="326" t="s">
        <v>2373</v>
      </c>
      <c r="K12" s="189"/>
    </row>
    <row r="13" spans="1:11" ht="15.75">
      <c r="A13" s="320">
        <v>45843</v>
      </c>
      <c r="B13" s="321" t="s">
        <v>2355</v>
      </c>
      <c r="C13" s="322" t="s">
        <v>175</v>
      </c>
      <c r="D13" s="323" t="s">
        <v>119</v>
      </c>
      <c r="E13" s="321"/>
      <c r="F13" s="324">
        <v>1000</v>
      </c>
      <c r="G13" s="186"/>
      <c r="H13" s="327">
        <f t="shared" si="0"/>
        <v>-78729</v>
      </c>
      <c r="I13" s="325" t="s">
        <v>153</v>
      </c>
      <c r="J13" s="326" t="s">
        <v>2373</v>
      </c>
      <c r="K13" s="189"/>
    </row>
    <row r="14" spans="1:11" ht="15.75">
      <c r="A14" s="320">
        <v>45843</v>
      </c>
      <c r="B14" s="321" t="s">
        <v>2356</v>
      </c>
      <c r="C14" s="322" t="s">
        <v>175</v>
      </c>
      <c r="D14" s="323" t="s">
        <v>119</v>
      </c>
      <c r="E14" s="321"/>
      <c r="F14" s="324">
        <v>1000</v>
      </c>
      <c r="G14" s="186"/>
      <c r="H14" s="327">
        <f t="shared" si="0"/>
        <v>-79729</v>
      </c>
      <c r="I14" s="325" t="s">
        <v>153</v>
      </c>
      <c r="J14" s="326" t="s">
        <v>2373</v>
      </c>
      <c r="K14" s="189"/>
    </row>
    <row r="15" spans="1:11" ht="15.75">
      <c r="A15" s="320">
        <v>45844</v>
      </c>
      <c r="B15" s="321" t="s">
        <v>2355</v>
      </c>
      <c r="C15" s="322" t="s">
        <v>175</v>
      </c>
      <c r="D15" s="323" t="s">
        <v>119</v>
      </c>
      <c r="E15" s="321"/>
      <c r="F15" s="324">
        <v>1000</v>
      </c>
      <c r="G15" s="186"/>
      <c r="H15" s="327">
        <f t="shared" si="0"/>
        <v>-80729</v>
      </c>
      <c r="I15" s="325" t="s">
        <v>153</v>
      </c>
      <c r="J15" s="326" t="s">
        <v>2373</v>
      </c>
      <c r="K15" s="189"/>
    </row>
    <row r="16" spans="1:11" ht="15.75">
      <c r="A16" s="320">
        <v>45844</v>
      </c>
      <c r="B16" s="321" t="s">
        <v>2356</v>
      </c>
      <c r="C16" s="322" t="s">
        <v>175</v>
      </c>
      <c r="D16" s="323" t="s">
        <v>119</v>
      </c>
      <c r="E16" s="321"/>
      <c r="F16" s="324">
        <v>1000</v>
      </c>
      <c r="G16" s="186"/>
      <c r="H16" s="327">
        <f t="shared" si="0"/>
        <v>-81729</v>
      </c>
      <c r="I16" s="325" t="s">
        <v>153</v>
      </c>
      <c r="J16" s="326" t="s">
        <v>2373</v>
      </c>
      <c r="K16" s="189"/>
    </row>
    <row r="17" spans="1:11" ht="15.75">
      <c r="A17" s="320">
        <v>45845</v>
      </c>
      <c r="B17" s="321" t="s">
        <v>2355</v>
      </c>
      <c r="C17" s="322" t="s">
        <v>175</v>
      </c>
      <c r="D17" s="323" t="s">
        <v>119</v>
      </c>
      <c r="E17" s="321"/>
      <c r="F17" s="324">
        <v>1000</v>
      </c>
      <c r="G17" s="186"/>
      <c r="H17" s="327">
        <f t="shared" si="0"/>
        <v>-82729</v>
      </c>
      <c r="I17" s="325" t="s">
        <v>153</v>
      </c>
      <c r="J17" s="326" t="s">
        <v>2373</v>
      </c>
      <c r="K17" s="189"/>
    </row>
    <row r="18" spans="1:11" ht="15.75">
      <c r="A18" s="320">
        <v>45845</v>
      </c>
      <c r="B18" s="321" t="s">
        <v>2356</v>
      </c>
      <c r="C18" s="322" t="s">
        <v>175</v>
      </c>
      <c r="D18" s="323" t="s">
        <v>119</v>
      </c>
      <c r="E18" s="321"/>
      <c r="F18" s="324">
        <v>1000</v>
      </c>
      <c r="G18" s="186"/>
      <c r="H18" s="327">
        <f t="shared" si="0"/>
        <v>-83729</v>
      </c>
      <c r="I18" s="325" t="s">
        <v>153</v>
      </c>
      <c r="J18" s="326" t="s">
        <v>2373</v>
      </c>
      <c r="K18" s="189"/>
    </row>
    <row r="19" spans="1:11" ht="15.75">
      <c r="A19" s="320">
        <v>45846</v>
      </c>
      <c r="B19" s="321" t="s">
        <v>2357</v>
      </c>
      <c r="C19" s="322" t="s">
        <v>127</v>
      </c>
      <c r="D19" s="323" t="s">
        <v>119</v>
      </c>
      <c r="E19" s="321"/>
      <c r="F19" s="321">
        <v>174625</v>
      </c>
      <c r="G19" s="186"/>
      <c r="H19" s="327">
        <f t="shared" si="0"/>
        <v>-258354</v>
      </c>
      <c r="I19" s="325" t="s">
        <v>153</v>
      </c>
      <c r="J19" s="321" t="s">
        <v>2374</v>
      </c>
      <c r="K19" s="189"/>
    </row>
    <row r="20" spans="1:11" ht="15.75">
      <c r="A20" s="320">
        <v>45846</v>
      </c>
      <c r="B20" s="321" t="s">
        <v>2358</v>
      </c>
      <c r="C20" s="322" t="s">
        <v>175</v>
      </c>
      <c r="D20" s="323" t="s">
        <v>119</v>
      </c>
      <c r="E20" s="321"/>
      <c r="F20" s="321">
        <v>1000</v>
      </c>
      <c r="G20" s="186"/>
      <c r="H20" s="327">
        <f t="shared" si="0"/>
        <v>-259354</v>
      </c>
      <c r="I20" s="325" t="s">
        <v>153</v>
      </c>
      <c r="J20" s="326" t="s">
        <v>2373</v>
      </c>
      <c r="K20" s="189"/>
    </row>
    <row r="21" spans="1:11" ht="15.75">
      <c r="A21" s="320">
        <v>45846</v>
      </c>
      <c r="B21" s="321" t="s">
        <v>2356</v>
      </c>
      <c r="C21" s="322" t="s">
        <v>175</v>
      </c>
      <c r="D21" s="323" t="s">
        <v>119</v>
      </c>
      <c r="E21" s="321"/>
      <c r="F21" s="321">
        <v>1000</v>
      </c>
      <c r="G21" s="186"/>
      <c r="H21" s="327">
        <f t="shared" si="0"/>
        <v>-260354</v>
      </c>
      <c r="I21" s="325" t="s">
        <v>153</v>
      </c>
      <c r="J21" s="326" t="s">
        <v>2373</v>
      </c>
      <c r="K21" s="189"/>
    </row>
    <row r="22" spans="1:11" ht="15.75">
      <c r="A22" s="320">
        <v>45847</v>
      </c>
      <c r="B22" s="321" t="s">
        <v>2359</v>
      </c>
      <c r="C22" s="322" t="s">
        <v>175</v>
      </c>
      <c r="D22" s="323" t="s">
        <v>119</v>
      </c>
      <c r="E22" s="321"/>
      <c r="F22" s="321">
        <v>1000</v>
      </c>
      <c r="G22" s="186"/>
      <c r="H22" s="327">
        <f t="shared" si="0"/>
        <v>-261354</v>
      </c>
      <c r="I22" s="325" t="s">
        <v>153</v>
      </c>
      <c r="J22" s="326" t="s">
        <v>2373</v>
      </c>
      <c r="K22" s="189"/>
    </row>
    <row r="23" spans="1:11" ht="15.75">
      <c r="A23" s="320">
        <v>45847</v>
      </c>
      <c r="B23" s="321" t="s">
        <v>2360</v>
      </c>
      <c r="C23" s="322" t="s">
        <v>175</v>
      </c>
      <c r="D23" s="323" t="s">
        <v>119</v>
      </c>
      <c r="E23" s="321"/>
      <c r="F23" s="321">
        <v>1000</v>
      </c>
      <c r="G23" s="186"/>
      <c r="H23" s="327">
        <f t="shared" si="0"/>
        <v>-262354</v>
      </c>
      <c r="I23" s="325" t="s">
        <v>153</v>
      </c>
      <c r="J23" s="326" t="s">
        <v>2373</v>
      </c>
      <c r="K23" s="189"/>
    </row>
    <row r="24" spans="1:11" ht="15.75">
      <c r="A24" s="320">
        <v>45847</v>
      </c>
      <c r="B24" s="321" t="s">
        <v>2356</v>
      </c>
      <c r="C24" s="322" t="s">
        <v>175</v>
      </c>
      <c r="D24" s="323" t="s">
        <v>119</v>
      </c>
      <c r="E24" s="321"/>
      <c r="F24" s="321">
        <v>1000</v>
      </c>
      <c r="G24" s="186"/>
      <c r="H24" s="327">
        <f t="shared" si="0"/>
        <v>-263354</v>
      </c>
      <c r="I24" s="325" t="s">
        <v>153</v>
      </c>
      <c r="J24" s="326" t="s">
        <v>2373</v>
      </c>
      <c r="K24" s="189"/>
    </row>
    <row r="25" spans="1:11" ht="15.75">
      <c r="A25" s="320">
        <v>45848</v>
      </c>
      <c r="B25" s="321" t="s">
        <v>2355</v>
      </c>
      <c r="C25" s="322" t="s">
        <v>175</v>
      </c>
      <c r="D25" s="323" t="s">
        <v>119</v>
      </c>
      <c r="E25" s="321"/>
      <c r="F25" s="321">
        <v>1000</v>
      </c>
      <c r="G25" s="186"/>
      <c r="H25" s="327">
        <f t="shared" si="0"/>
        <v>-264354</v>
      </c>
      <c r="I25" s="325" t="s">
        <v>153</v>
      </c>
      <c r="J25" s="326" t="s">
        <v>2373</v>
      </c>
      <c r="K25" s="189"/>
    </row>
    <row r="26" spans="1:11" ht="15.75">
      <c r="A26" s="320">
        <v>45848</v>
      </c>
      <c r="B26" s="321" t="s">
        <v>2356</v>
      </c>
      <c r="C26" s="322" t="s">
        <v>175</v>
      </c>
      <c r="D26" s="323" t="s">
        <v>119</v>
      </c>
      <c r="E26" s="321"/>
      <c r="F26" s="321">
        <v>1000</v>
      </c>
      <c r="G26" s="186"/>
      <c r="H26" s="327">
        <f t="shared" si="0"/>
        <v>-265354</v>
      </c>
      <c r="I26" s="325" t="s">
        <v>153</v>
      </c>
      <c r="J26" s="326" t="s">
        <v>2373</v>
      </c>
      <c r="K26" s="189"/>
    </row>
    <row r="27" spans="1:11" ht="15.75">
      <c r="A27" s="320">
        <v>45849</v>
      </c>
      <c r="B27" s="321" t="s">
        <v>2355</v>
      </c>
      <c r="C27" s="322" t="s">
        <v>175</v>
      </c>
      <c r="D27" s="323" t="s">
        <v>119</v>
      </c>
      <c r="E27" s="321"/>
      <c r="F27" s="321">
        <v>1000</v>
      </c>
      <c r="G27" s="186"/>
      <c r="H27" s="327">
        <f t="shared" si="0"/>
        <v>-266354</v>
      </c>
      <c r="I27" s="325" t="s">
        <v>153</v>
      </c>
      <c r="J27" s="326" t="s">
        <v>2373</v>
      </c>
      <c r="K27" s="189"/>
    </row>
    <row r="28" spans="1:11" ht="15.75">
      <c r="A28" s="320">
        <v>45849</v>
      </c>
      <c r="B28" s="321" t="s">
        <v>2356</v>
      </c>
      <c r="C28" s="322" t="s">
        <v>175</v>
      </c>
      <c r="D28" s="323" t="s">
        <v>119</v>
      </c>
      <c r="E28" s="321"/>
      <c r="F28" s="321">
        <v>1000</v>
      </c>
      <c r="G28" s="186"/>
      <c r="H28" s="327">
        <f t="shared" si="0"/>
        <v>-267354</v>
      </c>
      <c r="I28" s="325" t="s">
        <v>153</v>
      </c>
      <c r="J28" s="326" t="s">
        <v>2373</v>
      </c>
      <c r="K28" s="189"/>
    </row>
    <row r="29" spans="1:11" ht="15.75">
      <c r="A29" s="320">
        <v>45852</v>
      </c>
      <c r="B29" s="321" t="s">
        <v>2355</v>
      </c>
      <c r="C29" s="322" t="s">
        <v>175</v>
      </c>
      <c r="D29" s="323" t="s">
        <v>119</v>
      </c>
      <c r="E29" s="321"/>
      <c r="F29" s="321">
        <v>1000</v>
      </c>
      <c r="G29" s="186"/>
      <c r="H29" s="327">
        <f t="shared" si="0"/>
        <v>-268354</v>
      </c>
      <c r="I29" s="325" t="s">
        <v>153</v>
      </c>
      <c r="J29" s="326" t="s">
        <v>2373</v>
      </c>
      <c r="K29" s="189"/>
    </row>
    <row r="30" spans="1:11" ht="15.75">
      <c r="A30" s="320">
        <v>45852</v>
      </c>
      <c r="B30" s="321" t="s">
        <v>2356</v>
      </c>
      <c r="C30" s="322" t="s">
        <v>175</v>
      </c>
      <c r="D30" s="323" t="s">
        <v>119</v>
      </c>
      <c r="E30" s="321"/>
      <c r="F30" s="321">
        <v>1000</v>
      </c>
      <c r="G30" s="186"/>
      <c r="H30" s="327">
        <f t="shared" si="0"/>
        <v>-269354</v>
      </c>
      <c r="I30" s="325" t="s">
        <v>153</v>
      </c>
      <c r="J30" s="326" t="s">
        <v>2373</v>
      </c>
      <c r="K30" s="189"/>
    </row>
    <row r="31" spans="1:11" ht="15.75">
      <c r="A31" s="320">
        <v>45853</v>
      </c>
      <c r="B31" s="321" t="s">
        <v>2361</v>
      </c>
      <c r="C31" s="322" t="s">
        <v>175</v>
      </c>
      <c r="D31" s="323" t="s">
        <v>119</v>
      </c>
      <c r="E31" s="321"/>
      <c r="F31" s="321">
        <v>1000</v>
      </c>
      <c r="G31" s="186"/>
      <c r="H31" s="327">
        <f t="shared" si="0"/>
        <v>-270354</v>
      </c>
      <c r="I31" s="325" t="s">
        <v>153</v>
      </c>
      <c r="J31" s="326" t="s">
        <v>2373</v>
      </c>
      <c r="K31" s="189"/>
    </row>
    <row r="32" spans="1:11" ht="15.75">
      <c r="A32" s="320">
        <v>45853</v>
      </c>
      <c r="B32" s="321" t="s">
        <v>2360</v>
      </c>
      <c r="C32" s="322" t="s">
        <v>175</v>
      </c>
      <c r="D32" s="323" t="s">
        <v>119</v>
      </c>
      <c r="E32" s="321"/>
      <c r="F32" s="321">
        <v>1000</v>
      </c>
      <c r="G32" s="186"/>
      <c r="H32" s="327">
        <f t="shared" si="0"/>
        <v>-271354</v>
      </c>
      <c r="I32" s="325" t="s">
        <v>153</v>
      </c>
      <c r="J32" s="326" t="s">
        <v>2373</v>
      </c>
      <c r="K32" s="189"/>
    </row>
    <row r="33" spans="1:11" ht="15.75">
      <c r="A33" s="320">
        <v>45853</v>
      </c>
      <c r="B33" s="321" t="s">
        <v>2356</v>
      </c>
      <c r="C33" s="322" t="s">
        <v>175</v>
      </c>
      <c r="D33" s="323" t="s">
        <v>119</v>
      </c>
      <c r="E33" s="321"/>
      <c r="F33" s="321">
        <v>1000</v>
      </c>
      <c r="G33" s="186"/>
      <c r="H33" s="327">
        <f t="shared" si="0"/>
        <v>-272354</v>
      </c>
      <c r="I33" s="325" t="s">
        <v>153</v>
      </c>
      <c r="J33" s="326" t="s">
        <v>2373</v>
      </c>
      <c r="K33" s="189"/>
    </row>
    <row r="34" spans="1:11" ht="15.75">
      <c r="A34" s="320">
        <v>45854</v>
      </c>
      <c r="B34" s="321" t="s">
        <v>2355</v>
      </c>
      <c r="C34" s="322" t="s">
        <v>175</v>
      </c>
      <c r="D34" s="323" t="s">
        <v>119</v>
      </c>
      <c r="E34" s="321"/>
      <c r="F34" s="321">
        <v>1000</v>
      </c>
      <c r="G34" s="186"/>
      <c r="H34" s="327">
        <f t="shared" si="0"/>
        <v>-273354</v>
      </c>
      <c r="I34" s="325" t="s">
        <v>153</v>
      </c>
      <c r="J34" s="326" t="s">
        <v>2373</v>
      </c>
      <c r="K34" s="189"/>
    </row>
    <row r="35" spans="1:11" ht="15.75">
      <c r="A35" s="320">
        <v>45854</v>
      </c>
      <c r="B35" s="321" t="s">
        <v>2356</v>
      </c>
      <c r="C35" s="322" t="s">
        <v>175</v>
      </c>
      <c r="D35" s="323" t="s">
        <v>119</v>
      </c>
      <c r="E35" s="321"/>
      <c r="F35" s="321">
        <v>1000</v>
      </c>
      <c r="G35" s="186"/>
      <c r="H35" s="327">
        <f t="shared" si="0"/>
        <v>-274354</v>
      </c>
      <c r="I35" s="325" t="s">
        <v>153</v>
      </c>
      <c r="J35" s="326" t="s">
        <v>2373</v>
      </c>
      <c r="K35" s="189"/>
    </row>
    <row r="36" spans="1:11" s="479" customFormat="1" ht="15.75">
      <c r="A36" s="320">
        <v>45854</v>
      </c>
      <c r="B36" s="130" t="s">
        <v>2647</v>
      </c>
      <c r="C36" s="229" t="s">
        <v>152</v>
      </c>
      <c r="D36" s="130" t="s">
        <v>119</v>
      </c>
      <c r="E36" s="321">
        <v>20000</v>
      </c>
      <c r="F36" s="321"/>
      <c r="G36" s="186"/>
      <c r="H36" s="327">
        <f t="shared" si="0"/>
        <v>-254354</v>
      </c>
      <c r="I36" s="325" t="s">
        <v>153</v>
      </c>
      <c r="J36" s="326" t="s">
        <v>2648</v>
      </c>
      <c r="K36" s="189"/>
    </row>
    <row r="37" spans="1:11" s="479" customFormat="1" ht="15.75">
      <c r="A37" s="320">
        <v>45854</v>
      </c>
      <c r="B37" s="130" t="s">
        <v>2647</v>
      </c>
      <c r="C37" s="229" t="s">
        <v>152</v>
      </c>
      <c r="D37" s="130" t="s">
        <v>119</v>
      </c>
      <c r="E37" s="321"/>
      <c r="F37" s="321">
        <v>20000</v>
      </c>
      <c r="G37" s="186"/>
      <c r="H37" s="327">
        <f t="shared" si="0"/>
        <v>-274354</v>
      </c>
      <c r="I37" s="325" t="s">
        <v>153</v>
      </c>
      <c r="J37" s="326" t="s">
        <v>2648</v>
      </c>
      <c r="K37" s="189"/>
    </row>
    <row r="38" spans="1:11" ht="15.75">
      <c r="A38" s="320">
        <v>45855</v>
      </c>
      <c r="B38" s="321" t="s">
        <v>2355</v>
      </c>
      <c r="C38" s="322" t="s">
        <v>175</v>
      </c>
      <c r="D38" s="323" t="s">
        <v>119</v>
      </c>
      <c r="E38" s="321"/>
      <c r="F38" s="321">
        <v>1000</v>
      </c>
      <c r="G38" s="186"/>
      <c r="H38" s="327">
        <f t="shared" si="0"/>
        <v>-275354</v>
      </c>
      <c r="I38" s="325" t="s">
        <v>153</v>
      </c>
      <c r="J38" s="326" t="s">
        <v>2373</v>
      </c>
      <c r="K38" s="189"/>
    </row>
    <row r="39" spans="1:11" ht="15.75">
      <c r="A39" s="320">
        <v>45855</v>
      </c>
      <c r="B39" s="321" t="s">
        <v>2362</v>
      </c>
      <c r="C39" s="322" t="s">
        <v>175</v>
      </c>
      <c r="D39" s="323" t="s">
        <v>119</v>
      </c>
      <c r="E39" s="321"/>
      <c r="F39" s="321">
        <v>1000</v>
      </c>
      <c r="G39" s="186"/>
      <c r="H39" s="327">
        <f t="shared" si="0"/>
        <v>-276354</v>
      </c>
      <c r="I39" s="325" t="s">
        <v>153</v>
      </c>
      <c r="J39" s="326" t="s">
        <v>2373</v>
      </c>
      <c r="K39" s="189"/>
    </row>
    <row r="40" spans="1:11" ht="15.75">
      <c r="A40" s="320">
        <v>45855</v>
      </c>
      <c r="B40" s="321" t="s">
        <v>2363</v>
      </c>
      <c r="C40" s="322" t="s">
        <v>175</v>
      </c>
      <c r="D40" s="323" t="s">
        <v>119</v>
      </c>
      <c r="E40" s="321"/>
      <c r="F40" s="321">
        <v>1000</v>
      </c>
      <c r="G40" s="186"/>
      <c r="H40" s="327">
        <f t="shared" si="0"/>
        <v>-277354</v>
      </c>
      <c r="I40" s="325" t="s">
        <v>153</v>
      </c>
      <c r="J40" s="326" t="s">
        <v>2373</v>
      </c>
      <c r="K40" s="189"/>
    </row>
    <row r="41" spans="1:11" ht="15.75">
      <c r="A41" s="320">
        <v>45855</v>
      </c>
      <c r="B41" s="321" t="s">
        <v>2356</v>
      </c>
      <c r="C41" s="322" t="s">
        <v>175</v>
      </c>
      <c r="D41" s="323" t="s">
        <v>119</v>
      </c>
      <c r="E41" s="321"/>
      <c r="F41" s="321">
        <v>1000</v>
      </c>
      <c r="G41" s="186"/>
      <c r="H41" s="327">
        <f t="shared" si="0"/>
        <v>-278354</v>
      </c>
      <c r="I41" s="325" t="s">
        <v>153</v>
      </c>
      <c r="J41" s="326" t="s">
        <v>2373</v>
      </c>
      <c r="K41" s="189"/>
    </row>
    <row r="42" spans="1:11" ht="15.75">
      <c r="A42" s="320">
        <v>45856</v>
      </c>
      <c r="B42" s="321" t="s">
        <v>2358</v>
      </c>
      <c r="C42" s="322" t="s">
        <v>175</v>
      </c>
      <c r="D42" s="323" t="s">
        <v>119</v>
      </c>
      <c r="E42" s="321"/>
      <c r="F42" s="321">
        <v>1000</v>
      </c>
      <c r="G42" s="186"/>
      <c r="H42" s="327">
        <f t="shared" si="0"/>
        <v>-279354</v>
      </c>
      <c r="I42" s="329" t="s">
        <v>153</v>
      </c>
      <c r="J42" s="326" t="s">
        <v>2373</v>
      </c>
      <c r="K42" s="189"/>
    </row>
    <row r="43" spans="1:11" ht="15.75">
      <c r="A43" s="320">
        <v>45856</v>
      </c>
      <c r="B43" s="321" t="s">
        <v>2364</v>
      </c>
      <c r="C43" s="322" t="s">
        <v>175</v>
      </c>
      <c r="D43" s="323" t="s">
        <v>119</v>
      </c>
      <c r="E43" s="321"/>
      <c r="F43" s="321">
        <v>1000</v>
      </c>
      <c r="G43" s="186"/>
      <c r="H43" s="327">
        <f t="shared" si="0"/>
        <v>-280354</v>
      </c>
      <c r="I43" s="330" t="s">
        <v>153</v>
      </c>
      <c r="J43" s="326" t="s">
        <v>2373</v>
      </c>
      <c r="K43" s="189"/>
    </row>
    <row r="44" spans="1:11" ht="15.75">
      <c r="A44" s="320">
        <v>45856</v>
      </c>
      <c r="B44" s="321" t="s">
        <v>2365</v>
      </c>
      <c r="C44" s="322" t="s">
        <v>175</v>
      </c>
      <c r="D44" s="323" t="s">
        <v>119</v>
      </c>
      <c r="E44" s="321"/>
      <c r="F44" s="321">
        <v>1000</v>
      </c>
      <c r="G44" s="186"/>
      <c r="H44" s="327">
        <f t="shared" si="0"/>
        <v>-281354</v>
      </c>
      <c r="I44" s="331" t="s">
        <v>153</v>
      </c>
      <c r="J44" s="326" t="s">
        <v>2373</v>
      </c>
      <c r="K44" s="189"/>
    </row>
    <row r="45" spans="1:11" ht="15.75">
      <c r="A45" s="320">
        <v>45856</v>
      </c>
      <c r="B45" s="321" t="s">
        <v>2366</v>
      </c>
      <c r="C45" s="322" t="s">
        <v>175</v>
      </c>
      <c r="D45" s="323" t="s">
        <v>119</v>
      </c>
      <c r="E45" s="321"/>
      <c r="F45" s="321">
        <v>1000</v>
      </c>
      <c r="G45" s="186"/>
      <c r="H45" s="327">
        <f t="shared" si="0"/>
        <v>-282354</v>
      </c>
      <c r="I45" s="331" t="s">
        <v>153</v>
      </c>
      <c r="J45" s="326" t="s">
        <v>2373</v>
      </c>
      <c r="K45" s="189"/>
    </row>
    <row r="46" spans="1:11" ht="15.75">
      <c r="A46" s="320">
        <v>45856</v>
      </c>
      <c r="B46" s="321" t="s">
        <v>2367</v>
      </c>
      <c r="C46" s="322" t="s">
        <v>175</v>
      </c>
      <c r="D46" s="323" t="s">
        <v>119</v>
      </c>
      <c r="E46" s="321"/>
      <c r="F46" s="321">
        <v>1000</v>
      </c>
      <c r="G46" s="186"/>
      <c r="H46" s="327">
        <f t="shared" si="0"/>
        <v>-283354</v>
      </c>
      <c r="I46" s="331" t="s">
        <v>153</v>
      </c>
      <c r="J46" s="326" t="s">
        <v>2373</v>
      </c>
      <c r="K46" s="189"/>
    </row>
    <row r="47" spans="1:11" ht="15.75">
      <c r="A47" s="320">
        <v>45856</v>
      </c>
      <c r="B47" s="321" t="s">
        <v>2356</v>
      </c>
      <c r="C47" s="322" t="s">
        <v>175</v>
      </c>
      <c r="D47" s="323" t="s">
        <v>119</v>
      </c>
      <c r="E47" s="321"/>
      <c r="F47" s="321">
        <v>1000</v>
      </c>
      <c r="G47" s="186"/>
      <c r="H47" s="327">
        <f t="shared" si="0"/>
        <v>-284354</v>
      </c>
      <c r="I47" s="331" t="s">
        <v>153</v>
      </c>
      <c r="J47" s="326" t="s">
        <v>2373</v>
      </c>
      <c r="K47" s="189"/>
    </row>
    <row r="48" spans="1:11" ht="15.75">
      <c r="A48" s="320">
        <v>45859</v>
      </c>
      <c r="B48" s="321" t="s">
        <v>2355</v>
      </c>
      <c r="C48" s="322" t="s">
        <v>175</v>
      </c>
      <c r="D48" s="323" t="s">
        <v>119</v>
      </c>
      <c r="E48" s="321"/>
      <c r="F48" s="321">
        <v>1000</v>
      </c>
      <c r="G48" s="186"/>
      <c r="H48" s="327">
        <f t="shared" si="0"/>
        <v>-285354</v>
      </c>
      <c r="I48" s="331" t="s">
        <v>153</v>
      </c>
      <c r="J48" s="326" t="s">
        <v>2373</v>
      </c>
      <c r="K48" s="189"/>
    </row>
    <row r="49" spans="1:11" ht="15.75">
      <c r="A49" s="320">
        <v>45859</v>
      </c>
      <c r="B49" s="321" t="s">
        <v>2356</v>
      </c>
      <c r="C49" s="322" t="s">
        <v>175</v>
      </c>
      <c r="D49" s="323" t="s">
        <v>119</v>
      </c>
      <c r="E49" s="321"/>
      <c r="F49" s="321">
        <v>1000</v>
      </c>
      <c r="G49" s="186"/>
      <c r="H49" s="327">
        <f t="shared" si="0"/>
        <v>-286354</v>
      </c>
      <c r="I49" s="331" t="s">
        <v>153</v>
      </c>
      <c r="J49" s="326" t="s">
        <v>2373</v>
      </c>
      <c r="K49" s="189"/>
    </row>
    <row r="50" spans="1:11" ht="15.75">
      <c r="A50" s="320">
        <v>45860</v>
      </c>
      <c r="B50" s="321" t="s">
        <v>2355</v>
      </c>
      <c r="C50" s="322" t="s">
        <v>175</v>
      </c>
      <c r="D50" s="323" t="s">
        <v>119</v>
      </c>
      <c r="E50" s="321"/>
      <c r="F50" s="321">
        <v>1000</v>
      </c>
      <c r="G50" s="186"/>
      <c r="H50" s="327">
        <f t="shared" si="0"/>
        <v>-287354</v>
      </c>
      <c r="I50" s="331" t="s">
        <v>153</v>
      </c>
      <c r="J50" s="326" t="s">
        <v>2373</v>
      </c>
      <c r="K50" s="189"/>
    </row>
    <row r="51" spans="1:11" ht="15.75">
      <c r="A51" s="320">
        <v>45860</v>
      </c>
      <c r="B51" s="321" t="s">
        <v>2368</v>
      </c>
      <c r="C51" s="322" t="s">
        <v>175</v>
      </c>
      <c r="D51" s="323" t="s">
        <v>119</v>
      </c>
      <c r="E51" s="321"/>
      <c r="F51" s="321">
        <v>1000</v>
      </c>
      <c r="G51" s="186"/>
      <c r="H51" s="327">
        <f t="shared" si="0"/>
        <v>-288354</v>
      </c>
      <c r="I51" s="331" t="s">
        <v>153</v>
      </c>
      <c r="J51" s="326" t="s">
        <v>2373</v>
      </c>
      <c r="K51" s="189"/>
    </row>
    <row r="52" spans="1:11" ht="15.75">
      <c r="A52" s="320">
        <v>45861</v>
      </c>
      <c r="B52" s="321" t="s">
        <v>2355</v>
      </c>
      <c r="C52" s="322" t="s">
        <v>175</v>
      </c>
      <c r="D52" s="323" t="s">
        <v>119</v>
      </c>
      <c r="E52" s="321"/>
      <c r="F52" s="321">
        <v>1000</v>
      </c>
      <c r="G52" s="186"/>
      <c r="H52" s="327">
        <f t="shared" si="0"/>
        <v>-289354</v>
      </c>
      <c r="I52" s="331" t="s">
        <v>153</v>
      </c>
      <c r="J52" s="326" t="s">
        <v>2373</v>
      </c>
      <c r="K52" s="189"/>
    </row>
    <row r="53" spans="1:11" ht="15.75">
      <c r="A53" s="320">
        <v>45861</v>
      </c>
      <c r="B53" s="321" t="s">
        <v>2356</v>
      </c>
      <c r="C53" s="322" t="s">
        <v>175</v>
      </c>
      <c r="D53" s="323" t="s">
        <v>119</v>
      </c>
      <c r="E53" s="321"/>
      <c r="F53" s="321">
        <v>1000</v>
      </c>
      <c r="G53" s="186"/>
      <c r="H53" s="327">
        <f t="shared" si="0"/>
        <v>-290354</v>
      </c>
      <c r="I53" s="331" t="s">
        <v>153</v>
      </c>
      <c r="J53" s="326" t="s">
        <v>2373</v>
      </c>
      <c r="K53" s="189"/>
    </row>
    <row r="54" spans="1:11" ht="15.75">
      <c r="A54" s="320">
        <v>45862</v>
      </c>
      <c r="B54" s="321" t="s">
        <v>2355</v>
      </c>
      <c r="C54" s="322" t="s">
        <v>175</v>
      </c>
      <c r="D54" s="323" t="s">
        <v>119</v>
      </c>
      <c r="E54" s="321"/>
      <c r="F54" s="321">
        <v>1000</v>
      </c>
      <c r="G54" s="186"/>
      <c r="H54" s="327">
        <f t="shared" si="0"/>
        <v>-291354</v>
      </c>
      <c r="I54" s="331" t="s">
        <v>153</v>
      </c>
      <c r="J54" s="326" t="s">
        <v>2373</v>
      </c>
      <c r="K54" s="189"/>
    </row>
    <row r="55" spans="1:11" ht="15.75">
      <c r="A55" s="320">
        <v>45862</v>
      </c>
      <c r="B55" s="321" t="s">
        <v>2356</v>
      </c>
      <c r="C55" s="322" t="s">
        <v>175</v>
      </c>
      <c r="D55" s="323" t="s">
        <v>119</v>
      </c>
      <c r="E55" s="321"/>
      <c r="F55" s="321">
        <v>1000</v>
      </c>
      <c r="G55" s="186"/>
      <c r="H55" s="327">
        <f t="shared" si="0"/>
        <v>-292354</v>
      </c>
      <c r="I55" s="331" t="s">
        <v>153</v>
      </c>
      <c r="J55" s="326" t="s">
        <v>2373</v>
      </c>
      <c r="K55" s="189"/>
    </row>
    <row r="56" spans="1:11" ht="15.75">
      <c r="A56" s="320">
        <v>45863</v>
      </c>
      <c r="B56" s="321" t="s">
        <v>2355</v>
      </c>
      <c r="C56" s="322" t="s">
        <v>175</v>
      </c>
      <c r="D56" s="323" t="s">
        <v>119</v>
      </c>
      <c r="E56" s="321"/>
      <c r="F56" s="321">
        <v>1000</v>
      </c>
      <c r="G56" s="186"/>
      <c r="H56" s="327">
        <f t="shared" si="0"/>
        <v>-293354</v>
      </c>
      <c r="I56" s="331" t="s">
        <v>153</v>
      </c>
      <c r="J56" s="326" t="s">
        <v>2373</v>
      </c>
      <c r="K56" s="189"/>
    </row>
    <row r="57" spans="1:11" ht="15.75">
      <c r="A57" s="320">
        <v>45863</v>
      </c>
      <c r="B57" s="321" t="s">
        <v>2356</v>
      </c>
      <c r="C57" s="322" t="s">
        <v>175</v>
      </c>
      <c r="D57" s="323" t="s">
        <v>119</v>
      </c>
      <c r="E57" s="321"/>
      <c r="F57" s="321">
        <v>1000</v>
      </c>
      <c r="G57" s="186"/>
      <c r="H57" s="327">
        <f t="shared" si="0"/>
        <v>-294354</v>
      </c>
      <c r="I57" s="331" t="s">
        <v>153</v>
      </c>
      <c r="J57" s="326" t="s">
        <v>2373</v>
      </c>
      <c r="K57" s="189"/>
    </row>
    <row r="58" spans="1:11" ht="15.75">
      <c r="A58" s="320">
        <v>45866</v>
      </c>
      <c r="B58" s="321" t="s">
        <v>2355</v>
      </c>
      <c r="C58" s="322" t="s">
        <v>175</v>
      </c>
      <c r="D58" s="323" t="s">
        <v>119</v>
      </c>
      <c r="E58" s="321"/>
      <c r="F58" s="321">
        <v>1000</v>
      </c>
      <c r="G58" s="186"/>
      <c r="H58" s="327">
        <f t="shared" si="0"/>
        <v>-295354</v>
      </c>
      <c r="I58" s="331" t="s">
        <v>153</v>
      </c>
      <c r="J58" s="326" t="s">
        <v>2373</v>
      </c>
      <c r="K58" s="189"/>
    </row>
    <row r="59" spans="1:11" ht="15.75">
      <c r="A59" s="320">
        <v>45866</v>
      </c>
      <c r="B59" s="321" t="s">
        <v>2369</v>
      </c>
      <c r="C59" s="322" t="s">
        <v>175</v>
      </c>
      <c r="D59" s="323" t="s">
        <v>119</v>
      </c>
      <c r="E59" s="321"/>
      <c r="F59" s="321">
        <v>1000</v>
      </c>
      <c r="G59" s="186"/>
      <c r="H59" s="327">
        <f t="shared" si="0"/>
        <v>-296354</v>
      </c>
      <c r="I59" s="331" t="s">
        <v>153</v>
      </c>
      <c r="J59" s="326" t="s">
        <v>2373</v>
      </c>
      <c r="K59" s="189"/>
    </row>
    <row r="60" spans="1:11" ht="15.75">
      <c r="A60" s="320">
        <v>45866</v>
      </c>
      <c r="B60" s="321" t="s">
        <v>2370</v>
      </c>
      <c r="C60" s="322" t="s">
        <v>175</v>
      </c>
      <c r="D60" s="323" t="s">
        <v>119</v>
      </c>
      <c r="E60" s="321"/>
      <c r="F60" s="321">
        <v>1000</v>
      </c>
      <c r="G60" s="186"/>
      <c r="H60" s="327">
        <f t="shared" si="0"/>
        <v>-297354</v>
      </c>
      <c r="I60" s="331" t="s">
        <v>153</v>
      </c>
      <c r="J60" s="326" t="s">
        <v>2373</v>
      </c>
      <c r="K60" s="189"/>
    </row>
    <row r="61" spans="1:11" ht="15.75">
      <c r="A61" s="320">
        <v>45866</v>
      </c>
      <c r="B61" s="321" t="s">
        <v>2356</v>
      </c>
      <c r="C61" s="322" t="s">
        <v>175</v>
      </c>
      <c r="D61" s="323" t="s">
        <v>119</v>
      </c>
      <c r="E61" s="321"/>
      <c r="F61" s="321">
        <v>1000</v>
      </c>
      <c r="G61" s="186"/>
      <c r="H61" s="327">
        <f t="shared" si="0"/>
        <v>-298354</v>
      </c>
      <c r="I61" s="331" t="s">
        <v>153</v>
      </c>
      <c r="J61" s="326" t="s">
        <v>2373</v>
      </c>
      <c r="K61" s="189"/>
    </row>
    <row r="62" spans="1:11" ht="15.75">
      <c r="A62" s="320">
        <v>45867</v>
      </c>
      <c r="B62" s="321" t="s">
        <v>2355</v>
      </c>
      <c r="C62" s="322" t="s">
        <v>175</v>
      </c>
      <c r="D62" s="323" t="s">
        <v>119</v>
      </c>
      <c r="E62" s="321"/>
      <c r="F62" s="321">
        <v>1000</v>
      </c>
      <c r="G62" s="186"/>
      <c r="H62" s="327">
        <f t="shared" si="0"/>
        <v>-299354</v>
      </c>
      <c r="I62" s="331" t="s">
        <v>153</v>
      </c>
      <c r="J62" s="326" t="s">
        <v>2373</v>
      </c>
      <c r="K62" s="189"/>
    </row>
    <row r="63" spans="1:11" ht="15.75">
      <c r="A63" s="320">
        <v>45867</v>
      </c>
      <c r="B63" s="321" t="s">
        <v>2356</v>
      </c>
      <c r="C63" s="322" t="s">
        <v>175</v>
      </c>
      <c r="D63" s="323" t="s">
        <v>119</v>
      </c>
      <c r="E63" s="321"/>
      <c r="F63" s="321">
        <v>1000</v>
      </c>
      <c r="G63" s="186"/>
      <c r="H63" s="327">
        <f t="shared" si="0"/>
        <v>-300354</v>
      </c>
      <c r="I63" s="331" t="s">
        <v>153</v>
      </c>
      <c r="J63" s="326" t="s">
        <v>2373</v>
      </c>
      <c r="K63" s="189"/>
    </row>
    <row r="64" spans="1:11" ht="15.75">
      <c r="A64" s="320">
        <v>45867</v>
      </c>
      <c r="B64" s="321" t="s">
        <v>2371</v>
      </c>
      <c r="C64" s="322" t="s">
        <v>124</v>
      </c>
      <c r="D64" s="323" t="s">
        <v>119</v>
      </c>
      <c r="E64" s="321">
        <v>50000</v>
      </c>
      <c r="F64" s="321"/>
      <c r="G64" s="186"/>
      <c r="H64" s="327">
        <f t="shared" si="0"/>
        <v>-250354</v>
      </c>
      <c r="I64" s="331" t="s">
        <v>153</v>
      </c>
      <c r="J64" s="326" t="s">
        <v>2375</v>
      </c>
      <c r="K64" s="189"/>
    </row>
    <row r="65" spans="1:11" ht="15.75">
      <c r="A65" s="320">
        <v>45868</v>
      </c>
      <c r="B65" s="321" t="s">
        <v>2355</v>
      </c>
      <c r="C65" s="322" t="s">
        <v>175</v>
      </c>
      <c r="D65" s="323" t="s">
        <v>119</v>
      </c>
      <c r="E65" s="321"/>
      <c r="F65" s="321">
        <v>1000</v>
      </c>
      <c r="G65" s="186"/>
      <c r="H65" s="327">
        <f t="shared" si="0"/>
        <v>-251354</v>
      </c>
      <c r="I65" s="331" t="s">
        <v>153</v>
      </c>
      <c r="J65" s="326" t="s">
        <v>2373</v>
      </c>
      <c r="K65" s="189"/>
    </row>
    <row r="66" spans="1:11" ht="15.75">
      <c r="A66" s="320">
        <v>45868</v>
      </c>
      <c r="B66" s="321" t="s">
        <v>2372</v>
      </c>
      <c r="C66" s="322" t="s">
        <v>124</v>
      </c>
      <c r="D66" s="323" t="s">
        <v>119</v>
      </c>
      <c r="E66" s="321">
        <v>100000</v>
      </c>
      <c r="F66" s="321"/>
      <c r="G66" s="254"/>
      <c r="H66" s="327">
        <f t="shared" si="0"/>
        <v>-151354</v>
      </c>
      <c r="I66" s="331" t="s">
        <v>153</v>
      </c>
      <c r="J66" s="326" t="s">
        <v>2376</v>
      </c>
      <c r="K66" s="189"/>
    </row>
    <row r="67" spans="1:11" ht="15.75">
      <c r="A67" s="320">
        <v>45868</v>
      </c>
      <c r="B67" s="321" t="s">
        <v>2356</v>
      </c>
      <c r="C67" s="322" t="s">
        <v>175</v>
      </c>
      <c r="D67" s="323" t="s">
        <v>119</v>
      </c>
      <c r="E67" s="321"/>
      <c r="F67" s="321">
        <v>1000</v>
      </c>
      <c r="G67" s="254"/>
      <c r="H67" s="327">
        <f t="shared" si="0"/>
        <v>-152354</v>
      </c>
      <c r="I67" s="331" t="s">
        <v>153</v>
      </c>
      <c r="J67" s="326" t="s">
        <v>2373</v>
      </c>
      <c r="K67" s="332"/>
    </row>
    <row r="68" spans="1:11" ht="15.75">
      <c r="A68" s="320">
        <v>45869</v>
      </c>
      <c r="B68" s="321" t="s">
        <v>2355</v>
      </c>
      <c r="C68" s="322" t="s">
        <v>175</v>
      </c>
      <c r="D68" s="323" t="s">
        <v>119</v>
      </c>
      <c r="E68" s="321"/>
      <c r="F68" s="321">
        <v>1000</v>
      </c>
      <c r="G68" s="254"/>
      <c r="H68" s="327">
        <f t="shared" si="0"/>
        <v>-153354</v>
      </c>
      <c r="I68" s="331" t="s">
        <v>153</v>
      </c>
      <c r="J68" s="326" t="s">
        <v>2373</v>
      </c>
      <c r="K68" s="332"/>
    </row>
    <row r="69" spans="1:11" ht="15.75">
      <c r="A69" s="320">
        <v>45869</v>
      </c>
      <c r="B69" s="321" t="s">
        <v>2356</v>
      </c>
      <c r="C69" s="322" t="s">
        <v>175</v>
      </c>
      <c r="D69" s="323" t="s">
        <v>119</v>
      </c>
      <c r="E69" s="321"/>
      <c r="F69" s="321">
        <v>1000</v>
      </c>
      <c r="G69" s="254"/>
      <c r="H69" s="327">
        <f t="shared" si="0"/>
        <v>-154354</v>
      </c>
      <c r="I69" s="331" t="s">
        <v>153</v>
      </c>
      <c r="J69" s="326" t="s">
        <v>2373</v>
      </c>
      <c r="K69" s="332"/>
    </row>
    <row r="70" spans="1:11" ht="15.75">
      <c r="A70" s="201"/>
      <c r="B70" s="189"/>
      <c r="C70" s="189"/>
      <c r="D70" s="189"/>
      <c r="E70" s="193">
        <f>SUM(E4:E69)</f>
        <v>170000</v>
      </c>
      <c r="F70" s="193">
        <f>SUM(F4:F69)</f>
        <v>254625</v>
      </c>
      <c r="G70" s="193"/>
      <c r="H70" s="328">
        <f>+H4+E70-F70</f>
        <v>-154354</v>
      </c>
      <c r="I70" s="252"/>
      <c r="J70" s="332"/>
      <c r="K70" s="189"/>
    </row>
    <row r="71" spans="1:11" ht="15.75">
      <c r="A71" s="191"/>
      <c r="B71" s="189"/>
      <c r="C71" s="192" t="s">
        <v>512</v>
      </c>
      <c r="D71" s="189"/>
      <c r="E71" s="193"/>
      <c r="F71" s="193"/>
      <c r="G71" s="193"/>
      <c r="H71" s="194"/>
      <c r="I71" s="189"/>
      <c r="J71" s="332"/>
      <c r="K71" s="189"/>
    </row>
    <row r="72" spans="1:11" ht="15.75">
      <c r="A72" s="191"/>
      <c r="B72" s="189"/>
      <c r="C72" s="192"/>
      <c r="D72" s="189"/>
      <c r="E72" s="193"/>
      <c r="F72" s="193"/>
      <c r="G72" s="193"/>
      <c r="H72" s="194"/>
      <c r="I72" s="189"/>
      <c r="J72" s="189"/>
      <c r="K72" s="189"/>
    </row>
    <row r="73" spans="1:11" ht="15.75">
      <c r="A73" s="195" t="s">
        <v>0</v>
      </c>
      <c r="B73" s="196" t="s">
        <v>505</v>
      </c>
      <c r="C73" s="196" t="s">
        <v>506</v>
      </c>
      <c r="D73" s="196" t="s">
        <v>507</v>
      </c>
      <c r="E73" s="197" t="s">
        <v>508</v>
      </c>
      <c r="F73" s="197" t="s">
        <v>509</v>
      </c>
      <c r="G73" s="197"/>
      <c r="H73" s="198" t="s">
        <v>30</v>
      </c>
      <c r="I73" s="196" t="s">
        <v>510</v>
      </c>
      <c r="J73" s="196" t="s">
        <v>511</v>
      </c>
      <c r="K73" s="199"/>
    </row>
    <row r="74" spans="1:11" ht="15.75">
      <c r="A74" s="177">
        <v>45839</v>
      </c>
      <c r="B74" s="183" t="s">
        <v>2388</v>
      </c>
      <c r="C74" s="183"/>
      <c r="D74" s="183"/>
      <c r="E74" s="186"/>
      <c r="F74" s="186"/>
      <c r="G74" s="186"/>
      <c r="H74" s="187">
        <v>55120</v>
      </c>
      <c r="I74" s="178" t="s">
        <v>203</v>
      </c>
      <c r="J74" s="183"/>
      <c r="K74" s="189"/>
    </row>
    <row r="75" spans="1:11" ht="15.75">
      <c r="A75" s="333">
        <v>45847</v>
      </c>
      <c r="B75" s="334" t="s">
        <v>2377</v>
      </c>
      <c r="C75" s="134" t="s">
        <v>175</v>
      </c>
      <c r="D75" s="335" t="s">
        <v>117</v>
      </c>
      <c r="E75" s="134"/>
      <c r="F75" s="134">
        <v>1000</v>
      </c>
      <c r="G75" s="220"/>
      <c r="H75" s="255">
        <f t="shared" ref="H75:H85" si="1">+H74+E75-F75</f>
        <v>54120</v>
      </c>
      <c r="I75" s="336" t="s">
        <v>203</v>
      </c>
      <c r="J75" s="334" t="s">
        <v>2387</v>
      </c>
      <c r="K75" s="200"/>
    </row>
    <row r="76" spans="1:11" ht="15.75">
      <c r="A76" s="333">
        <v>45847</v>
      </c>
      <c r="B76" s="334" t="s">
        <v>2378</v>
      </c>
      <c r="C76" s="134" t="s">
        <v>175</v>
      </c>
      <c r="D76" s="335" t="s">
        <v>117</v>
      </c>
      <c r="E76" s="134"/>
      <c r="F76" s="134">
        <v>1000</v>
      </c>
      <c r="G76" s="220"/>
      <c r="H76" s="255">
        <f t="shared" si="1"/>
        <v>53120</v>
      </c>
      <c r="I76" s="336" t="s">
        <v>203</v>
      </c>
      <c r="J76" s="334" t="s">
        <v>2387</v>
      </c>
      <c r="K76" s="200"/>
    </row>
    <row r="77" spans="1:11" ht="15.75">
      <c r="A77" s="333">
        <v>45849</v>
      </c>
      <c r="B77" s="334" t="s">
        <v>2379</v>
      </c>
      <c r="C77" s="134" t="s">
        <v>175</v>
      </c>
      <c r="D77" s="335" t="s">
        <v>117</v>
      </c>
      <c r="E77" s="134"/>
      <c r="F77" s="134">
        <v>1000</v>
      </c>
      <c r="G77" s="220"/>
      <c r="H77" s="255">
        <f t="shared" si="1"/>
        <v>52120</v>
      </c>
      <c r="I77" s="336" t="s">
        <v>203</v>
      </c>
      <c r="J77" s="334" t="s">
        <v>2387</v>
      </c>
      <c r="K77" s="200"/>
    </row>
    <row r="78" spans="1:11" ht="15.75">
      <c r="A78" s="333">
        <v>45849</v>
      </c>
      <c r="B78" s="334" t="s">
        <v>2378</v>
      </c>
      <c r="C78" s="134" t="s">
        <v>175</v>
      </c>
      <c r="D78" s="335" t="s">
        <v>117</v>
      </c>
      <c r="E78" s="134"/>
      <c r="F78" s="134">
        <v>1000</v>
      </c>
      <c r="G78" s="220"/>
      <c r="H78" s="255">
        <f t="shared" si="1"/>
        <v>51120</v>
      </c>
      <c r="I78" s="336" t="s">
        <v>203</v>
      </c>
      <c r="J78" s="334" t="s">
        <v>2387</v>
      </c>
      <c r="K78" s="200"/>
    </row>
    <row r="79" spans="1:11" ht="15.75">
      <c r="A79" s="333">
        <v>45855</v>
      </c>
      <c r="B79" s="334" t="s">
        <v>2380</v>
      </c>
      <c r="C79" s="134" t="s">
        <v>175</v>
      </c>
      <c r="D79" s="335" t="s">
        <v>117</v>
      </c>
      <c r="E79" s="134"/>
      <c r="F79" s="134">
        <v>1000</v>
      </c>
      <c r="G79" s="220"/>
      <c r="H79" s="255">
        <f t="shared" si="1"/>
        <v>50120</v>
      </c>
      <c r="I79" s="336" t="s">
        <v>203</v>
      </c>
      <c r="J79" s="334" t="s">
        <v>2387</v>
      </c>
      <c r="K79" s="200"/>
    </row>
    <row r="80" spans="1:11" ht="15.75">
      <c r="A80" s="333">
        <v>45862</v>
      </c>
      <c r="B80" s="334" t="s">
        <v>2381</v>
      </c>
      <c r="C80" s="134" t="s">
        <v>175</v>
      </c>
      <c r="D80" s="335" t="s">
        <v>117</v>
      </c>
      <c r="E80" s="134"/>
      <c r="F80" s="134">
        <v>1000</v>
      </c>
      <c r="G80" s="220"/>
      <c r="H80" s="255">
        <f t="shared" si="1"/>
        <v>49120</v>
      </c>
      <c r="I80" s="336" t="s">
        <v>203</v>
      </c>
      <c r="J80" s="334" t="s">
        <v>2387</v>
      </c>
      <c r="K80" s="200"/>
    </row>
    <row r="81" spans="1:11" ht="15.75">
      <c r="A81" s="333">
        <v>45862</v>
      </c>
      <c r="B81" s="334" t="s">
        <v>2382</v>
      </c>
      <c r="C81" s="134" t="s">
        <v>175</v>
      </c>
      <c r="D81" s="335" t="s">
        <v>117</v>
      </c>
      <c r="E81" s="134"/>
      <c r="F81" s="134">
        <v>1000</v>
      </c>
      <c r="G81" s="220"/>
      <c r="H81" s="255">
        <f t="shared" si="1"/>
        <v>48120</v>
      </c>
      <c r="I81" s="336" t="s">
        <v>203</v>
      </c>
      <c r="J81" s="334" t="s">
        <v>2387</v>
      </c>
      <c r="K81" s="200"/>
    </row>
    <row r="82" spans="1:11" ht="15.75">
      <c r="A82" s="333">
        <v>45862</v>
      </c>
      <c r="B82" s="334" t="s">
        <v>2383</v>
      </c>
      <c r="C82" s="134" t="s">
        <v>175</v>
      </c>
      <c r="D82" s="335" t="s">
        <v>117</v>
      </c>
      <c r="E82" s="134"/>
      <c r="F82" s="134">
        <v>1000</v>
      </c>
      <c r="G82" s="220"/>
      <c r="H82" s="255">
        <f t="shared" si="1"/>
        <v>47120</v>
      </c>
      <c r="I82" s="336" t="s">
        <v>203</v>
      </c>
      <c r="J82" s="334" t="s">
        <v>2387</v>
      </c>
      <c r="K82" s="200"/>
    </row>
    <row r="83" spans="1:11" ht="15.75">
      <c r="A83" s="333">
        <v>45862</v>
      </c>
      <c r="B83" s="334" t="s">
        <v>2384</v>
      </c>
      <c r="C83" s="134" t="s">
        <v>175</v>
      </c>
      <c r="D83" s="335" t="s">
        <v>117</v>
      </c>
      <c r="E83" s="134"/>
      <c r="F83" s="134">
        <v>1000</v>
      </c>
      <c r="G83" s="220"/>
      <c r="H83" s="255">
        <f t="shared" si="1"/>
        <v>46120</v>
      </c>
      <c r="I83" s="336" t="s">
        <v>203</v>
      </c>
      <c r="J83" s="334" t="s">
        <v>2387</v>
      </c>
      <c r="K83" s="200"/>
    </row>
    <row r="84" spans="1:11" ht="15.75">
      <c r="A84" s="333">
        <v>45863</v>
      </c>
      <c r="B84" s="334" t="s">
        <v>2385</v>
      </c>
      <c r="C84" s="134" t="s">
        <v>175</v>
      </c>
      <c r="D84" s="335" t="s">
        <v>117</v>
      </c>
      <c r="E84" s="134"/>
      <c r="F84" s="134">
        <v>1000</v>
      </c>
      <c r="G84" s="256"/>
      <c r="H84" s="255">
        <f t="shared" si="1"/>
        <v>45120</v>
      </c>
      <c r="I84" s="336" t="s">
        <v>203</v>
      </c>
      <c r="J84" s="334" t="s">
        <v>2387</v>
      </c>
      <c r="K84" s="200"/>
    </row>
    <row r="85" spans="1:11" ht="15.75">
      <c r="A85" s="333">
        <v>45863</v>
      </c>
      <c r="B85" s="334" t="s">
        <v>2386</v>
      </c>
      <c r="C85" s="134" t="s">
        <v>175</v>
      </c>
      <c r="D85" s="335" t="s">
        <v>117</v>
      </c>
      <c r="E85" s="134"/>
      <c r="F85" s="134">
        <v>1000</v>
      </c>
      <c r="G85" s="256"/>
      <c r="H85" s="255">
        <f t="shared" si="1"/>
        <v>44120</v>
      </c>
      <c r="I85" s="336" t="s">
        <v>203</v>
      </c>
      <c r="J85" s="334" t="s">
        <v>2387</v>
      </c>
      <c r="K85" s="200"/>
    </row>
    <row r="86" spans="1:11" ht="15.75">
      <c r="A86" s="201"/>
      <c r="B86" s="189"/>
      <c r="C86" s="189"/>
      <c r="D86" s="189"/>
      <c r="E86" s="202">
        <f>SUM(E74:E85)</f>
        <v>0</v>
      </c>
      <c r="F86" s="202">
        <f>SUM(F74:F85)</f>
        <v>11000</v>
      </c>
      <c r="G86" s="202"/>
      <c r="H86" s="194">
        <f>+E86-F86+H74</f>
        <v>44120</v>
      </c>
      <c r="I86" s="189"/>
      <c r="J86" s="189"/>
      <c r="K86" s="189"/>
    </row>
    <row r="87" spans="1:11" ht="15.75">
      <c r="A87" s="201"/>
      <c r="B87" s="189"/>
      <c r="C87" s="189"/>
      <c r="D87" s="189"/>
      <c r="E87" s="193"/>
      <c r="F87" s="193"/>
      <c r="G87" s="193"/>
      <c r="H87" s="194"/>
      <c r="I87" s="189"/>
      <c r="J87" s="189"/>
      <c r="K87" s="189"/>
    </row>
    <row r="88" spans="1:11" ht="15.75">
      <c r="A88" s="201"/>
      <c r="B88" s="189"/>
      <c r="C88" s="192" t="s">
        <v>513</v>
      </c>
      <c r="D88" s="189"/>
      <c r="E88" s="193"/>
      <c r="F88" s="193"/>
      <c r="G88" s="193"/>
      <c r="H88" s="194"/>
      <c r="I88" s="189"/>
      <c r="J88" s="189"/>
      <c r="K88" s="189"/>
    </row>
    <row r="89" spans="1:11" ht="15.75">
      <c r="A89" s="201"/>
      <c r="B89" s="189"/>
      <c r="C89" s="189"/>
      <c r="D89" s="189"/>
      <c r="E89" s="193"/>
      <c r="F89" s="193"/>
      <c r="G89" s="193"/>
      <c r="H89" s="194"/>
      <c r="I89" s="189"/>
      <c r="J89" s="189"/>
      <c r="K89" s="189"/>
    </row>
    <row r="90" spans="1:11" ht="15.75">
      <c r="A90" s="203" t="s">
        <v>0</v>
      </c>
      <c r="B90" s="196" t="s">
        <v>505</v>
      </c>
      <c r="C90" s="196" t="s">
        <v>889</v>
      </c>
      <c r="D90" s="196" t="s">
        <v>506</v>
      </c>
      <c r="E90" s="197" t="s">
        <v>508</v>
      </c>
      <c r="F90" s="197" t="s">
        <v>509</v>
      </c>
      <c r="G90" s="197"/>
      <c r="H90" s="204" t="s">
        <v>30</v>
      </c>
      <c r="I90" s="196" t="s">
        <v>510</v>
      </c>
      <c r="J90" s="196" t="s">
        <v>511</v>
      </c>
      <c r="K90" s="199"/>
    </row>
    <row r="91" spans="1:11" ht="15.75">
      <c r="A91" s="177">
        <v>45839</v>
      </c>
      <c r="B91" s="130" t="s">
        <v>2388</v>
      </c>
      <c r="C91" s="190"/>
      <c r="D91" s="190"/>
      <c r="E91" s="190"/>
      <c r="F91" s="190"/>
      <c r="G91" s="190"/>
      <c r="H91" s="205">
        <v>0</v>
      </c>
      <c r="I91" s="190" t="s">
        <v>157</v>
      </c>
      <c r="J91" s="190"/>
      <c r="K91" s="189"/>
    </row>
    <row r="92" spans="1:11" ht="15.75">
      <c r="A92" s="498"/>
      <c r="B92" s="499"/>
      <c r="C92" s="499"/>
      <c r="D92" s="500"/>
      <c r="E92" s="179">
        <f>SUM(E91:E91)</f>
        <v>0</v>
      </c>
      <c r="F92" s="179">
        <f>SUM(F91:F91)</f>
        <v>0</v>
      </c>
      <c r="G92" s="179"/>
      <c r="H92" s="208">
        <f>E92-F92+H91</f>
        <v>0</v>
      </c>
      <c r="I92" s="178"/>
      <c r="J92" s="178"/>
      <c r="K92" s="180"/>
    </row>
    <row r="93" spans="1:11" ht="15.75">
      <c r="A93" s="201"/>
      <c r="B93" s="189"/>
      <c r="C93" s="189"/>
      <c r="D93" s="189"/>
      <c r="E93" s="193"/>
      <c r="F93" s="193"/>
      <c r="G93" s="193"/>
      <c r="H93" s="194"/>
      <c r="I93" s="189"/>
      <c r="J93" s="189"/>
      <c r="K93" s="180"/>
    </row>
    <row r="94" spans="1:11" ht="15.75">
      <c r="A94" s="201"/>
      <c r="B94" s="189"/>
      <c r="C94" s="192" t="s">
        <v>708</v>
      </c>
      <c r="D94" s="189"/>
      <c r="E94" s="193"/>
      <c r="F94" s="193"/>
      <c r="G94" s="193"/>
      <c r="H94" s="194"/>
      <c r="I94" s="189"/>
      <c r="J94" s="189"/>
      <c r="K94" s="180"/>
    </row>
    <row r="95" spans="1:11" ht="15.75">
      <c r="A95" s="201"/>
      <c r="B95" s="189"/>
      <c r="C95" s="189"/>
      <c r="D95" s="189"/>
      <c r="E95" s="193"/>
      <c r="F95" s="193"/>
      <c r="G95" s="193"/>
      <c r="H95" s="194"/>
      <c r="I95" s="189"/>
      <c r="J95" s="189"/>
      <c r="K95" s="180"/>
    </row>
    <row r="96" spans="1:11" ht="15.75">
      <c r="A96" s="203" t="s">
        <v>0</v>
      </c>
      <c r="B96" s="196" t="s">
        <v>505</v>
      </c>
      <c r="C96" s="196" t="s">
        <v>506</v>
      </c>
      <c r="D96" s="196" t="s">
        <v>889</v>
      </c>
      <c r="E96" s="197" t="s">
        <v>508</v>
      </c>
      <c r="F96" s="197" t="s">
        <v>509</v>
      </c>
      <c r="G96" s="197"/>
      <c r="H96" s="204" t="s">
        <v>30</v>
      </c>
      <c r="I96" s="196" t="s">
        <v>510</v>
      </c>
      <c r="J96" s="196" t="s">
        <v>511</v>
      </c>
      <c r="K96" s="180"/>
    </row>
    <row r="97" spans="1:11" ht="15.75">
      <c r="A97" s="177">
        <v>45839</v>
      </c>
      <c r="B97" s="130" t="s">
        <v>2388</v>
      </c>
      <c r="C97" s="190"/>
      <c r="D97" s="190"/>
      <c r="E97" s="190"/>
      <c r="F97" s="190"/>
      <c r="G97" s="190"/>
      <c r="H97" s="205">
        <v>12500</v>
      </c>
      <c r="I97" s="190" t="s">
        <v>643</v>
      </c>
      <c r="J97" s="190"/>
      <c r="K97" s="180"/>
    </row>
    <row r="98" spans="1:11" ht="15.75">
      <c r="A98" s="340">
        <v>45840</v>
      </c>
      <c r="B98" s="76" t="s">
        <v>2389</v>
      </c>
      <c r="C98" s="76" t="s">
        <v>175</v>
      </c>
      <c r="D98" s="76" t="s">
        <v>118</v>
      </c>
      <c r="E98" s="224"/>
      <c r="F98" s="225">
        <v>1000</v>
      </c>
      <c r="G98" s="225"/>
      <c r="H98" s="224">
        <f t="shared" ref="H98:H156" si="2">+H97+E98-F98</f>
        <v>11500</v>
      </c>
      <c r="I98" s="76" t="s">
        <v>643</v>
      </c>
      <c r="J98" s="76" t="s">
        <v>2434</v>
      </c>
      <c r="K98" s="180"/>
    </row>
    <row r="99" spans="1:11" ht="15.75">
      <c r="A99" s="340">
        <v>45840</v>
      </c>
      <c r="B99" s="76" t="s">
        <v>2390</v>
      </c>
      <c r="C99" s="76" t="s">
        <v>175</v>
      </c>
      <c r="D99" s="76" t="s">
        <v>118</v>
      </c>
      <c r="E99" s="224"/>
      <c r="F99" s="225">
        <v>1000</v>
      </c>
      <c r="G99" s="223"/>
      <c r="H99" s="224">
        <f t="shared" si="2"/>
        <v>10500</v>
      </c>
      <c r="I99" s="76" t="s">
        <v>643</v>
      </c>
      <c r="J99" s="76" t="s">
        <v>2434</v>
      </c>
      <c r="K99" s="180"/>
    </row>
    <row r="100" spans="1:11" ht="15.75">
      <c r="A100" s="340">
        <v>45840</v>
      </c>
      <c r="B100" s="76" t="s">
        <v>2391</v>
      </c>
      <c r="C100" s="130" t="s">
        <v>317</v>
      </c>
      <c r="D100" s="76" t="s">
        <v>118</v>
      </c>
      <c r="E100" s="224">
        <v>20000</v>
      </c>
      <c r="F100" s="225"/>
      <c r="G100" s="225"/>
      <c r="H100" s="224">
        <f t="shared" si="2"/>
        <v>30500</v>
      </c>
      <c r="I100" s="91" t="s">
        <v>643</v>
      </c>
      <c r="J100" s="132" t="s">
        <v>2435</v>
      </c>
      <c r="K100" s="180"/>
    </row>
    <row r="101" spans="1:11" ht="15.75">
      <c r="A101" s="340">
        <v>45840</v>
      </c>
      <c r="B101" s="76" t="s">
        <v>2391</v>
      </c>
      <c r="C101" s="130" t="s">
        <v>317</v>
      </c>
      <c r="D101" s="76" t="s">
        <v>118</v>
      </c>
      <c r="E101" s="224"/>
      <c r="F101" s="225">
        <v>20000</v>
      </c>
      <c r="G101" s="222"/>
      <c r="H101" s="224">
        <f t="shared" si="2"/>
        <v>10500</v>
      </c>
      <c r="I101" s="91" t="s">
        <v>643</v>
      </c>
      <c r="J101" s="132" t="s">
        <v>2435</v>
      </c>
      <c r="K101" s="180"/>
    </row>
    <row r="102" spans="1:11" ht="15.75">
      <c r="A102" s="340">
        <v>45841</v>
      </c>
      <c r="B102" s="76" t="s">
        <v>2392</v>
      </c>
      <c r="C102" s="76" t="s">
        <v>175</v>
      </c>
      <c r="D102" s="76" t="s">
        <v>118</v>
      </c>
      <c r="E102" s="224"/>
      <c r="F102" s="225">
        <v>1000</v>
      </c>
      <c r="G102" s="222"/>
      <c r="H102" s="224">
        <f t="shared" si="2"/>
        <v>9500</v>
      </c>
      <c r="I102" s="76" t="s">
        <v>643</v>
      </c>
      <c r="J102" s="76" t="s">
        <v>2434</v>
      </c>
      <c r="K102" s="180"/>
    </row>
    <row r="103" spans="1:11" ht="15.75">
      <c r="A103" s="340">
        <v>45841</v>
      </c>
      <c r="B103" s="76" t="s">
        <v>2393</v>
      </c>
      <c r="C103" s="76" t="s">
        <v>175</v>
      </c>
      <c r="D103" s="76" t="s">
        <v>118</v>
      </c>
      <c r="E103" s="224"/>
      <c r="F103" s="225">
        <v>1000</v>
      </c>
      <c r="G103" s="222"/>
      <c r="H103" s="224">
        <f t="shared" si="2"/>
        <v>8500</v>
      </c>
      <c r="I103" s="76" t="s">
        <v>643</v>
      </c>
      <c r="J103" s="76" t="s">
        <v>2434</v>
      </c>
      <c r="K103" s="180"/>
    </row>
    <row r="104" spans="1:11" ht="15.75">
      <c r="A104" s="340">
        <v>45848</v>
      </c>
      <c r="B104" s="76" t="s">
        <v>2394</v>
      </c>
      <c r="C104" s="130" t="s">
        <v>1737</v>
      </c>
      <c r="D104" s="130" t="s">
        <v>121</v>
      </c>
      <c r="E104" s="222">
        <v>-60000</v>
      </c>
      <c r="F104" s="225"/>
      <c r="G104" s="222"/>
      <c r="H104" s="224">
        <f t="shared" si="2"/>
        <v>-51500</v>
      </c>
      <c r="I104" s="91" t="s">
        <v>643</v>
      </c>
      <c r="J104" s="132" t="s">
        <v>2436</v>
      </c>
      <c r="K104" s="180"/>
    </row>
    <row r="105" spans="1:11" ht="15.75">
      <c r="A105" s="340">
        <v>45848</v>
      </c>
      <c r="B105" s="76" t="s">
        <v>2394</v>
      </c>
      <c r="C105" s="130" t="s">
        <v>1737</v>
      </c>
      <c r="D105" s="130" t="s">
        <v>121</v>
      </c>
      <c r="E105" s="224"/>
      <c r="F105" s="222">
        <v>-60000</v>
      </c>
      <c r="G105" s="222"/>
      <c r="H105" s="224">
        <f t="shared" si="2"/>
        <v>8500</v>
      </c>
      <c r="I105" s="91" t="s">
        <v>643</v>
      </c>
      <c r="J105" s="132" t="s">
        <v>2436</v>
      </c>
      <c r="K105" s="180"/>
    </row>
    <row r="106" spans="1:11" ht="15.75">
      <c r="A106" s="340">
        <v>45849</v>
      </c>
      <c r="B106" s="76" t="s">
        <v>2395</v>
      </c>
      <c r="C106" s="76" t="s">
        <v>175</v>
      </c>
      <c r="D106" s="76" t="s">
        <v>118</v>
      </c>
      <c r="E106" s="224"/>
      <c r="F106" s="225">
        <v>1000</v>
      </c>
      <c r="G106" s="222"/>
      <c r="H106" s="224">
        <f t="shared" si="2"/>
        <v>7500</v>
      </c>
      <c r="I106" s="76" t="s">
        <v>643</v>
      </c>
      <c r="J106" s="76" t="s">
        <v>2434</v>
      </c>
      <c r="K106" s="180"/>
    </row>
    <row r="107" spans="1:11" ht="15.75">
      <c r="A107" s="340">
        <v>45849</v>
      </c>
      <c r="B107" s="76" t="s">
        <v>2396</v>
      </c>
      <c r="C107" s="76" t="s">
        <v>175</v>
      </c>
      <c r="D107" s="76" t="s">
        <v>118</v>
      </c>
      <c r="E107" s="224"/>
      <c r="F107" s="225">
        <v>1000</v>
      </c>
      <c r="G107" s="222"/>
      <c r="H107" s="224">
        <f t="shared" si="2"/>
        <v>6500</v>
      </c>
      <c r="I107" s="76" t="s">
        <v>643</v>
      </c>
      <c r="J107" s="76" t="s">
        <v>2434</v>
      </c>
      <c r="K107" s="180"/>
    </row>
    <row r="108" spans="1:11" ht="15.75">
      <c r="A108" s="340">
        <v>45849</v>
      </c>
      <c r="B108" s="76" t="s">
        <v>2397</v>
      </c>
      <c r="C108" s="76" t="s">
        <v>175</v>
      </c>
      <c r="D108" s="76" t="s">
        <v>118</v>
      </c>
      <c r="E108" s="224"/>
      <c r="F108" s="225">
        <v>1000</v>
      </c>
      <c r="G108" s="222"/>
      <c r="H108" s="224">
        <f t="shared" si="2"/>
        <v>5500</v>
      </c>
      <c r="I108" s="76" t="s">
        <v>643</v>
      </c>
      <c r="J108" s="76" t="s">
        <v>2434</v>
      </c>
      <c r="K108" s="180"/>
    </row>
    <row r="109" spans="1:11" ht="15.75">
      <c r="A109" s="340">
        <v>45849</v>
      </c>
      <c r="B109" s="76" t="s">
        <v>2398</v>
      </c>
      <c r="C109" s="76" t="s">
        <v>175</v>
      </c>
      <c r="D109" s="76" t="s">
        <v>118</v>
      </c>
      <c r="E109" s="224"/>
      <c r="F109" s="225">
        <v>1000</v>
      </c>
      <c r="G109" s="222"/>
      <c r="H109" s="224">
        <f t="shared" si="2"/>
        <v>4500</v>
      </c>
      <c r="I109" s="76" t="s">
        <v>643</v>
      </c>
      <c r="J109" s="76" t="s">
        <v>2434</v>
      </c>
      <c r="K109" s="180"/>
    </row>
    <row r="110" spans="1:11" ht="15.75">
      <c r="A110" s="340">
        <v>45853</v>
      </c>
      <c r="B110" s="76" t="s">
        <v>2399</v>
      </c>
      <c r="C110" s="76" t="s">
        <v>175</v>
      </c>
      <c r="D110" s="76" t="s">
        <v>118</v>
      </c>
      <c r="E110" s="224"/>
      <c r="F110" s="225">
        <v>1000</v>
      </c>
      <c r="G110" s="222"/>
      <c r="H110" s="224">
        <f t="shared" si="2"/>
        <v>3500</v>
      </c>
      <c r="I110" s="76" t="s">
        <v>643</v>
      </c>
      <c r="J110" s="76" t="s">
        <v>2434</v>
      </c>
      <c r="K110" s="180"/>
    </row>
    <row r="111" spans="1:11" ht="15.75">
      <c r="A111" s="340">
        <v>45853</v>
      </c>
      <c r="B111" s="76" t="s">
        <v>2400</v>
      </c>
      <c r="C111" s="76" t="s">
        <v>175</v>
      </c>
      <c r="D111" s="76" t="s">
        <v>118</v>
      </c>
      <c r="E111" s="224"/>
      <c r="F111" s="225">
        <v>1000</v>
      </c>
      <c r="G111" s="222"/>
      <c r="H111" s="224">
        <f t="shared" si="2"/>
        <v>2500</v>
      </c>
      <c r="I111" s="76" t="s">
        <v>643</v>
      </c>
      <c r="J111" s="76" t="s">
        <v>2434</v>
      </c>
      <c r="K111" s="180"/>
    </row>
    <row r="112" spans="1:11" ht="15.75">
      <c r="A112" s="340">
        <v>45853</v>
      </c>
      <c r="B112" s="76" t="s">
        <v>2401</v>
      </c>
      <c r="C112" s="76" t="s">
        <v>175</v>
      </c>
      <c r="D112" s="76" t="s">
        <v>118</v>
      </c>
      <c r="E112" s="224"/>
      <c r="F112" s="225">
        <v>1000</v>
      </c>
      <c r="G112" s="222"/>
      <c r="H112" s="224">
        <f t="shared" si="2"/>
        <v>1500</v>
      </c>
      <c r="I112" s="76" t="s">
        <v>643</v>
      </c>
      <c r="J112" s="76" t="s">
        <v>2434</v>
      </c>
      <c r="K112" s="180"/>
    </row>
    <row r="113" spans="1:11" ht="15.75">
      <c r="A113" s="340">
        <v>45854</v>
      </c>
      <c r="B113" s="76" t="s">
        <v>2402</v>
      </c>
      <c r="C113" s="76" t="s">
        <v>175</v>
      </c>
      <c r="D113" s="76" t="s">
        <v>118</v>
      </c>
      <c r="E113" s="224"/>
      <c r="F113" s="225">
        <v>1000</v>
      </c>
      <c r="G113" s="222"/>
      <c r="H113" s="224">
        <f t="shared" si="2"/>
        <v>500</v>
      </c>
      <c r="I113" s="76" t="s">
        <v>643</v>
      </c>
      <c r="J113" s="76" t="s">
        <v>2434</v>
      </c>
      <c r="K113" s="180"/>
    </row>
    <row r="114" spans="1:11" ht="15.75">
      <c r="A114" s="340">
        <v>45854</v>
      </c>
      <c r="B114" s="76" t="s">
        <v>2403</v>
      </c>
      <c r="C114" s="76" t="s">
        <v>175</v>
      </c>
      <c r="D114" s="76" t="s">
        <v>118</v>
      </c>
      <c r="E114" s="224"/>
      <c r="F114" s="225">
        <v>1000</v>
      </c>
      <c r="G114" s="222"/>
      <c r="H114" s="224">
        <f t="shared" si="2"/>
        <v>-500</v>
      </c>
      <c r="I114" s="76" t="s">
        <v>643</v>
      </c>
      <c r="J114" s="76" t="s">
        <v>2434</v>
      </c>
      <c r="K114" s="180"/>
    </row>
    <row r="115" spans="1:11" ht="15.75">
      <c r="A115" s="340">
        <v>45854</v>
      </c>
      <c r="B115" s="76" t="s">
        <v>2404</v>
      </c>
      <c r="C115" s="226" t="s">
        <v>152</v>
      </c>
      <c r="D115" s="76" t="s">
        <v>119</v>
      </c>
      <c r="E115" s="224">
        <v>5000</v>
      </c>
      <c r="F115" s="225"/>
      <c r="G115" s="222"/>
      <c r="H115" s="224">
        <f t="shared" si="2"/>
        <v>4500</v>
      </c>
      <c r="I115" s="76" t="s">
        <v>643</v>
      </c>
      <c r="J115" s="76" t="s">
        <v>2437</v>
      </c>
      <c r="K115" s="180"/>
    </row>
    <row r="116" spans="1:11" ht="15.75">
      <c r="A116" s="340">
        <v>45854</v>
      </c>
      <c r="B116" s="76" t="s">
        <v>2404</v>
      </c>
      <c r="C116" s="226" t="s">
        <v>152</v>
      </c>
      <c r="D116" s="76" t="s">
        <v>119</v>
      </c>
      <c r="E116" s="224"/>
      <c r="F116" s="225">
        <v>5000</v>
      </c>
      <c r="G116" s="225"/>
      <c r="H116" s="224">
        <f t="shared" si="2"/>
        <v>-500</v>
      </c>
      <c r="I116" s="76" t="s">
        <v>643</v>
      </c>
      <c r="J116" s="76" t="s">
        <v>2437</v>
      </c>
      <c r="K116" s="180"/>
    </row>
    <row r="117" spans="1:11" ht="15.75">
      <c r="A117" s="340">
        <v>45860</v>
      </c>
      <c r="B117" s="76" t="s">
        <v>2405</v>
      </c>
      <c r="C117" s="76" t="s">
        <v>175</v>
      </c>
      <c r="D117" s="76" t="s">
        <v>118</v>
      </c>
      <c r="E117" s="224"/>
      <c r="F117" s="225">
        <v>1000</v>
      </c>
      <c r="G117" s="225"/>
      <c r="H117" s="224">
        <f t="shared" si="2"/>
        <v>-1500</v>
      </c>
      <c r="I117" s="76" t="s">
        <v>643</v>
      </c>
      <c r="J117" s="76" t="s">
        <v>2434</v>
      </c>
      <c r="K117" s="180"/>
    </row>
    <row r="118" spans="1:11" ht="15.75">
      <c r="A118" s="340">
        <v>45860</v>
      </c>
      <c r="B118" s="76" t="s">
        <v>2406</v>
      </c>
      <c r="C118" s="76" t="s">
        <v>175</v>
      </c>
      <c r="D118" s="76" t="s">
        <v>118</v>
      </c>
      <c r="E118" s="224"/>
      <c r="F118" s="225">
        <v>1000</v>
      </c>
      <c r="G118" s="225"/>
      <c r="H118" s="224">
        <f t="shared" si="2"/>
        <v>-2500</v>
      </c>
      <c r="I118" s="76" t="s">
        <v>643</v>
      </c>
      <c r="J118" s="76" t="s">
        <v>2434</v>
      </c>
      <c r="K118" s="180"/>
    </row>
    <row r="119" spans="1:11" ht="15.75">
      <c r="A119" s="340">
        <v>45860</v>
      </c>
      <c r="B119" s="76" t="s">
        <v>2407</v>
      </c>
      <c r="C119" s="125" t="s">
        <v>175</v>
      </c>
      <c r="D119" s="125" t="s">
        <v>118</v>
      </c>
      <c r="E119" s="341"/>
      <c r="F119" s="342">
        <v>1000</v>
      </c>
      <c r="G119" s="225"/>
      <c r="H119" s="224">
        <f t="shared" si="2"/>
        <v>-3500</v>
      </c>
      <c r="I119" s="125" t="s">
        <v>643</v>
      </c>
      <c r="J119" s="125" t="s">
        <v>2434</v>
      </c>
      <c r="K119" s="180"/>
    </row>
    <row r="120" spans="1:11" ht="15.75">
      <c r="A120" s="340">
        <v>45860</v>
      </c>
      <c r="B120" s="76" t="s">
        <v>2408</v>
      </c>
      <c r="C120" s="76" t="s">
        <v>175</v>
      </c>
      <c r="D120" s="76" t="s">
        <v>118</v>
      </c>
      <c r="E120" s="224"/>
      <c r="F120" s="225">
        <v>1000</v>
      </c>
      <c r="G120" s="222"/>
      <c r="H120" s="224">
        <f t="shared" si="2"/>
        <v>-4500</v>
      </c>
      <c r="I120" s="76" t="s">
        <v>643</v>
      </c>
      <c r="J120" s="76" t="s">
        <v>2434</v>
      </c>
      <c r="K120" s="180"/>
    </row>
    <row r="121" spans="1:11" ht="15.75">
      <c r="A121" s="340">
        <v>45860</v>
      </c>
      <c r="B121" s="76" t="s">
        <v>2409</v>
      </c>
      <c r="C121" s="76" t="s">
        <v>175</v>
      </c>
      <c r="D121" s="76" t="s">
        <v>118</v>
      </c>
      <c r="E121" s="224"/>
      <c r="F121" s="225">
        <v>1000</v>
      </c>
      <c r="G121" s="225"/>
      <c r="H121" s="224">
        <f t="shared" si="2"/>
        <v>-5500</v>
      </c>
      <c r="I121" s="76" t="s">
        <v>643</v>
      </c>
      <c r="J121" s="76" t="s">
        <v>2434</v>
      </c>
      <c r="K121" s="180"/>
    </row>
    <row r="122" spans="1:11" ht="15.75">
      <c r="A122" s="340">
        <v>45862</v>
      </c>
      <c r="B122" s="76" t="s">
        <v>2410</v>
      </c>
      <c r="C122" s="76" t="s">
        <v>175</v>
      </c>
      <c r="D122" s="76" t="s">
        <v>118</v>
      </c>
      <c r="E122" s="224"/>
      <c r="F122" s="225">
        <v>1000</v>
      </c>
      <c r="G122" s="222"/>
      <c r="H122" s="224">
        <f t="shared" si="2"/>
        <v>-6500</v>
      </c>
      <c r="I122" s="76" t="s">
        <v>643</v>
      </c>
      <c r="J122" s="76" t="s">
        <v>2434</v>
      </c>
      <c r="K122" s="180"/>
    </row>
    <row r="123" spans="1:11" ht="15.75">
      <c r="A123" s="340">
        <v>45862</v>
      </c>
      <c r="B123" s="76" t="s">
        <v>2411</v>
      </c>
      <c r="C123" s="76" t="s">
        <v>175</v>
      </c>
      <c r="D123" s="76" t="s">
        <v>118</v>
      </c>
      <c r="E123" s="224"/>
      <c r="F123" s="225">
        <v>1000</v>
      </c>
      <c r="G123" s="225"/>
      <c r="H123" s="224">
        <f t="shared" si="2"/>
        <v>-7500</v>
      </c>
      <c r="I123" s="76" t="s">
        <v>643</v>
      </c>
      <c r="J123" s="76" t="s">
        <v>2434</v>
      </c>
      <c r="K123" s="180"/>
    </row>
    <row r="124" spans="1:11" ht="15.75">
      <c r="A124" s="340">
        <v>45862</v>
      </c>
      <c r="B124" s="76" t="s">
        <v>2412</v>
      </c>
      <c r="C124" s="76" t="s">
        <v>175</v>
      </c>
      <c r="D124" s="76" t="s">
        <v>118</v>
      </c>
      <c r="E124" s="224"/>
      <c r="F124" s="225">
        <v>1000</v>
      </c>
      <c r="G124" s="225"/>
      <c r="H124" s="224">
        <f t="shared" si="2"/>
        <v>-8500</v>
      </c>
      <c r="I124" s="76" t="s">
        <v>643</v>
      </c>
      <c r="J124" s="76" t="s">
        <v>2434</v>
      </c>
      <c r="K124" s="180"/>
    </row>
    <row r="125" spans="1:11" ht="15.75">
      <c r="A125" s="340">
        <v>45862</v>
      </c>
      <c r="B125" s="130" t="s">
        <v>2413</v>
      </c>
      <c r="C125" s="76" t="s">
        <v>184</v>
      </c>
      <c r="D125" s="76" t="s">
        <v>118</v>
      </c>
      <c r="E125" s="222">
        <v>700</v>
      </c>
      <c r="F125" s="225"/>
      <c r="G125" s="225"/>
      <c r="H125" s="224">
        <f t="shared" si="2"/>
        <v>-7800</v>
      </c>
      <c r="I125" s="76" t="s">
        <v>643</v>
      </c>
      <c r="J125" s="130" t="s">
        <v>2438</v>
      </c>
      <c r="K125" s="180"/>
    </row>
    <row r="126" spans="1:11" ht="15.75">
      <c r="A126" s="340">
        <v>45862</v>
      </c>
      <c r="B126" s="130" t="s">
        <v>2413</v>
      </c>
      <c r="C126" s="76" t="s">
        <v>184</v>
      </c>
      <c r="D126" s="76" t="s">
        <v>118</v>
      </c>
      <c r="E126" s="224"/>
      <c r="F126" s="222">
        <v>700</v>
      </c>
      <c r="G126" s="225"/>
      <c r="H126" s="224">
        <f t="shared" si="2"/>
        <v>-8500</v>
      </c>
      <c r="I126" s="76" t="s">
        <v>643</v>
      </c>
      <c r="J126" s="130" t="s">
        <v>2438</v>
      </c>
      <c r="K126" s="180"/>
    </row>
    <row r="127" spans="1:11" ht="15.75">
      <c r="A127" s="340">
        <v>45863</v>
      </c>
      <c r="B127" s="76" t="s">
        <v>2414</v>
      </c>
      <c r="C127" s="76" t="s">
        <v>175</v>
      </c>
      <c r="D127" s="76" t="s">
        <v>118</v>
      </c>
      <c r="E127" s="224"/>
      <c r="F127" s="225">
        <v>1000</v>
      </c>
      <c r="G127" s="225"/>
      <c r="H127" s="224">
        <f t="shared" si="2"/>
        <v>-9500</v>
      </c>
      <c r="I127" s="76" t="s">
        <v>643</v>
      </c>
      <c r="J127" s="76" t="s">
        <v>2434</v>
      </c>
      <c r="K127" s="180"/>
    </row>
    <row r="128" spans="1:11" ht="15.75">
      <c r="A128" s="340">
        <v>45863</v>
      </c>
      <c r="B128" s="76" t="s">
        <v>2415</v>
      </c>
      <c r="C128" s="76" t="s">
        <v>175</v>
      </c>
      <c r="D128" s="76" t="s">
        <v>118</v>
      </c>
      <c r="E128" s="224"/>
      <c r="F128" s="225">
        <v>1000</v>
      </c>
      <c r="G128" s="225"/>
      <c r="H128" s="224">
        <f t="shared" si="2"/>
        <v>-10500</v>
      </c>
      <c r="I128" s="76" t="s">
        <v>643</v>
      </c>
      <c r="J128" s="76" t="s">
        <v>2434</v>
      </c>
      <c r="K128" s="180"/>
    </row>
    <row r="129" spans="1:11" ht="15.75">
      <c r="A129" s="340">
        <v>45863</v>
      </c>
      <c r="B129" s="76" t="s">
        <v>709</v>
      </c>
      <c r="C129" s="259" t="s">
        <v>124</v>
      </c>
      <c r="D129" s="337" t="s">
        <v>118</v>
      </c>
      <c r="E129" s="343">
        <v>20000</v>
      </c>
      <c r="F129" s="344"/>
      <c r="G129" s="225"/>
      <c r="H129" s="224">
        <f t="shared" si="2"/>
        <v>9500</v>
      </c>
      <c r="I129" s="337" t="s">
        <v>643</v>
      </c>
      <c r="J129" s="337" t="s">
        <v>2439</v>
      </c>
      <c r="K129" s="180"/>
    </row>
    <row r="130" spans="1:11" ht="15.75">
      <c r="A130" s="340">
        <v>45863</v>
      </c>
      <c r="B130" s="76" t="s">
        <v>2416</v>
      </c>
      <c r="C130" s="76" t="s">
        <v>175</v>
      </c>
      <c r="D130" s="76" t="s">
        <v>118</v>
      </c>
      <c r="E130" s="224"/>
      <c r="F130" s="225">
        <v>1000</v>
      </c>
      <c r="G130" s="225"/>
      <c r="H130" s="224">
        <f t="shared" si="2"/>
        <v>8500</v>
      </c>
      <c r="I130" s="76" t="s">
        <v>643</v>
      </c>
      <c r="J130" s="76" t="s">
        <v>2434</v>
      </c>
      <c r="K130" s="180"/>
    </row>
    <row r="131" spans="1:11" ht="15.75">
      <c r="A131" s="340">
        <v>45863</v>
      </c>
      <c r="B131" s="76" t="s">
        <v>2417</v>
      </c>
      <c r="C131" s="76" t="s">
        <v>175</v>
      </c>
      <c r="D131" s="76" t="s">
        <v>118</v>
      </c>
      <c r="E131" s="224"/>
      <c r="F131" s="225">
        <v>1000</v>
      </c>
      <c r="G131" s="225"/>
      <c r="H131" s="224">
        <f t="shared" si="2"/>
        <v>7500</v>
      </c>
      <c r="I131" s="76" t="s">
        <v>643</v>
      </c>
      <c r="J131" s="76" t="s">
        <v>2434</v>
      </c>
      <c r="K131" s="180"/>
    </row>
    <row r="132" spans="1:11" ht="15.75">
      <c r="A132" s="340">
        <v>45863</v>
      </c>
      <c r="B132" s="76" t="s">
        <v>2418</v>
      </c>
      <c r="C132" s="76" t="s">
        <v>175</v>
      </c>
      <c r="D132" s="76" t="s">
        <v>118</v>
      </c>
      <c r="E132" s="224"/>
      <c r="F132" s="225">
        <v>1000</v>
      </c>
      <c r="G132" s="225"/>
      <c r="H132" s="224">
        <f t="shared" si="2"/>
        <v>6500</v>
      </c>
      <c r="I132" s="76" t="s">
        <v>643</v>
      </c>
      <c r="J132" s="76" t="s">
        <v>2434</v>
      </c>
      <c r="K132" s="180"/>
    </row>
    <row r="133" spans="1:11" ht="15.75">
      <c r="A133" s="340">
        <v>45863</v>
      </c>
      <c r="B133" s="76" t="s">
        <v>2419</v>
      </c>
      <c r="C133" s="76" t="s">
        <v>175</v>
      </c>
      <c r="D133" s="76" t="s">
        <v>118</v>
      </c>
      <c r="E133" s="224"/>
      <c r="F133" s="225">
        <v>1000</v>
      </c>
      <c r="G133" s="225"/>
      <c r="H133" s="224">
        <f t="shared" si="2"/>
        <v>5500</v>
      </c>
      <c r="I133" s="76" t="s">
        <v>643</v>
      </c>
      <c r="J133" s="76" t="s">
        <v>2434</v>
      </c>
      <c r="K133" s="180"/>
    </row>
    <row r="134" spans="1:11" ht="15.75">
      <c r="A134" s="340">
        <v>45863</v>
      </c>
      <c r="B134" s="76" t="s">
        <v>2420</v>
      </c>
      <c r="C134" s="76" t="s">
        <v>175</v>
      </c>
      <c r="D134" s="76" t="s">
        <v>118</v>
      </c>
      <c r="E134" s="224"/>
      <c r="F134" s="225">
        <v>1000</v>
      </c>
      <c r="G134" s="225"/>
      <c r="H134" s="224">
        <f t="shared" si="2"/>
        <v>4500</v>
      </c>
      <c r="I134" s="76" t="s">
        <v>643</v>
      </c>
      <c r="J134" s="76" t="s">
        <v>2434</v>
      </c>
      <c r="K134" s="180"/>
    </row>
    <row r="135" spans="1:11" ht="15.75">
      <c r="A135" s="338">
        <v>45863</v>
      </c>
      <c r="B135" s="76" t="s">
        <v>2421</v>
      </c>
      <c r="C135" s="76" t="s">
        <v>126</v>
      </c>
      <c r="D135" s="76" t="s">
        <v>118</v>
      </c>
      <c r="E135" s="222">
        <v>71274</v>
      </c>
      <c r="F135" s="225"/>
      <c r="G135" s="225"/>
      <c r="H135" s="224">
        <f t="shared" si="2"/>
        <v>75774</v>
      </c>
      <c r="I135" s="76" t="s">
        <v>643</v>
      </c>
      <c r="J135" s="130" t="s">
        <v>2440</v>
      </c>
      <c r="K135" s="180"/>
    </row>
    <row r="136" spans="1:11" ht="15.75">
      <c r="A136" s="338">
        <v>45863</v>
      </c>
      <c r="B136" s="76" t="s">
        <v>2421</v>
      </c>
      <c r="C136" s="76" t="s">
        <v>126</v>
      </c>
      <c r="D136" s="76" t="s">
        <v>118</v>
      </c>
      <c r="E136" s="224"/>
      <c r="F136" s="222">
        <v>71274</v>
      </c>
      <c r="G136" s="225"/>
      <c r="H136" s="224">
        <f t="shared" si="2"/>
        <v>4500</v>
      </c>
      <c r="I136" s="76" t="s">
        <v>643</v>
      </c>
      <c r="J136" s="130" t="s">
        <v>2440</v>
      </c>
      <c r="K136" s="180"/>
    </row>
    <row r="137" spans="1:11" ht="15.75">
      <c r="A137" s="338">
        <v>45866</v>
      </c>
      <c r="B137" s="76" t="s">
        <v>2422</v>
      </c>
      <c r="C137" s="76" t="s">
        <v>2196</v>
      </c>
      <c r="D137" s="76" t="s">
        <v>118</v>
      </c>
      <c r="E137" s="222">
        <v>6000</v>
      </c>
      <c r="F137" s="222"/>
      <c r="G137" s="225"/>
      <c r="H137" s="224">
        <f t="shared" si="2"/>
        <v>10500</v>
      </c>
      <c r="I137" s="91" t="s">
        <v>643</v>
      </c>
      <c r="J137" s="130" t="s">
        <v>2441</v>
      </c>
      <c r="K137" s="180"/>
    </row>
    <row r="138" spans="1:11" ht="15.75">
      <c r="A138" s="338">
        <v>45866</v>
      </c>
      <c r="B138" s="76" t="s">
        <v>2423</v>
      </c>
      <c r="C138" s="130" t="s">
        <v>317</v>
      </c>
      <c r="D138" s="76" t="s">
        <v>118</v>
      </c>
      <c r="E138" s="222">
        <v>20000</v>
      </c>
      <c r="F138" s="222"/>
      <c r="G138" s="225"/>
      <c r="H138" s="224">
        <f t="shared" si="2"/>
        <v>30500</v>
      </c>
      <c r="I138" s="76" t="s">
        <v>643</v>
      </c>
      <c r="J138" s="130" t="s">
        <v>2442</v>
      </c>
      <c r="K138" s="180"/>
    </row>
    <row r="139" spans="1:11" ht="15.75">
      <c r="A139" s="338">
        <v>45866</v>
      </c>
      <c r="B139" s="76" t="s">
        <v>2424</v>
      </c>
      <c r="C139" s="76" t="s">
        <v>317</v>
      </c>
      <c r="D139" s="76" t="s">
        <v>118</v>
      </c>
      <c r="E139" s="222">
        <v>75625</v>
      </c>
      <c r="F139" s="222"/>
      <c r="G139" s="225"/>
      <c r="H139" s="224">
        <f t="shared" si="2"/>
        <v>106125</v>
      </c>
      <c r="I139" s="76" t="s">
        <v>643</v>
      </c>
      <c r="J139" s="130" t="s">
        <v>2443</v>
      </c>
      <c r="K139" s="180"/>
    </row>
    <row r="140" spans="1:11" ht="15.75">
      <c r="A140" s="338">
        <v>45866</v>
      </c>
      <c r="B140" s="76" t="s">
        <v>2425</v>
      </c>
      <c r="C140" s="130" t="s">
        <v>172</v>
      </c>
      <c r="D140" s="76" t="s">
        <v>118</v>
      </c>
      <c r="E140" s="222">
        <v>12500</v>
      </c>
      <c r="F140" s="222"/>
      <c r="G140" s="225"/>
      <c r="H140" s="224">
        <f t="shared" si="2"/>
        <v>118625</v>
      </c>
      <c r="I140" s="76" t="s">
        <v>643</v>
      </c>
      <c r="J140" s="130" t="s">
        <v>2444</v>
      </c>
      <c r="K140" s="180"/>
    </row>
    <row r="141" spans="1:11" ht="15.75">
      <c r="A141" s="338">
        <v>45866</v>
      </c>
      <c r="B141" s="76" t="s">
        <v>2422</v>
      </c>
      <c r="C141" s="76" t="s">
        <v>2196</v>
      </c>
      <c r="D141" s="76" t="s">
        <v>118</v>
      </c>
      <c r="E141" s="224"/>
      <c r="F141" s="222">
        <v>6000</v>
      </c>
      <c r="G141" s="225"/>
      <c r="H141" s="224">
        <f t="shared" si="2"/>
        <v>112625</v>
      </c>
      <c r="I141" s="91" t="s">
        <v>643</v>
      </c>
      <c r="J141" s="130" t="s">
        <v>2441</v>
      </c>
      <c r="K141" s="180"/>
    </row>
    <row r="142" spans="1:11" ht="15.75">
      <c r="A142" s="338">
        <v>45866</v>
      </c>
      <c r="B142" s="76" t="s">
        <v>2423</v>
      </c>
      <c r="C142" s="130" t="s">
        <v>317</v>
      </c>
      <c r="D142" s="76" t="s">
        <v>118</v>
      </c>
      <c r="E142" s="224"/>
      <c r="F142" s="222">
        <v>20000</v>
      </c>
      <c r="G142" s="225"/>
      <c r="H142" s="224">
        <f t="shared" si="2"/>
        <v>92625</v>
      </c>
      <c r="I142" s="76" t="s">
        <v>643</v>
      </c>
      <c r="J142" s="130" t="s">
        <v>2442</v>
      </c>
      <c r="K142" s="180"/>
    </row>
    <row r="143" spans="1:11" ht="15.75">
      <c r="A143" s="338">
        <v>45866</v>
      </c>
      <c r="B143" s="76" t="s">
        <v>2424</v>
      </c>
      <c r="C143" s="76" t="s">
        <v>317</v>
      </c>
      <c r="D143" s="76" t="s">
        <v>118</v>
      </c>
      <c r="E143" s="224"/>
      <c r="F143" s="222">
        <v>75625</v>
      </c>
      <c r="G143" s="225"/>
      <c r="H143" s="224">
        <f t="shared" si="2"/>
        <v>17000</v>
      </c>
      <c r="I143" s="76" t="s">
        <v>643</v>
      </c>
      <c r="J143" s="130" t="s">
        <v>2443</v>
      </c>
      <c r="K143" s="180"/>
    </row>
    <row r="144" spans="1:11" ht="15.75">
      <c r="A144" s="338">
        <v>45866</v>
      </c>
      <c r="B144" s="76" t="s">
        <v>2425</v>
      </c>
      <c r="C144" s="130" t="s">
        <v>172</v>
      </c>
      <c r="D144" s="76" t="s">
        <v>118</v>
      </c>
      <c r="E144" s="224"/>
      <c r="F144" s="222">
        <v>12500</v>
      </c>
      <c r="G144" s="225"/>
      <c r="H144" s="224">
        <f t="shared" si="2"/>
        <v>4500</v>
      </c>
      <c r="I144" s="76" t="s">
        <v>643</v>
      </c>
      <c r="J144" s="130" t="s">
        <v>2444</v>
      </c>
      <c r="K144" s="180"/>
    </row>
    <row r="145" spans="1:11" ht="15.75">
      <c r="A145" s="338">
        <v>45867</v>
      </c>
      <c r="B145" s="76" t="s">
        <v>2426</v>
      </c>
      <c r="C145" s="76" t="s">
        <v>175</v>
      </c>
      <c r="D145" s="76" t="s">
        <v>118</v>
      </c>
      <c r="E145" s="224"/>
      <c r="F145" s="225">
        <v>1000</v>
      </c>
      <c r="G145" s="225"/>
      <c r="H145" s="224">
        <f t="shared" si="2"/>
        <v>3500</v>
      </c>
      <c r="I145" s="76" t="s">
        <v>643</v>
      </c>
      <c r="J145" s="76" t="s">
        <v>2434</v>
      </c>
      <c r="K145" s="180"/>
    </row>
    <row r="146" spans="1:11" ht="15.75">
      <c r="A146" s="338">
        <v>45867</v>
      </c>
      <c r="B146" s="76" t="s">
        <v>2427</v>
      </c>
      <c r="C146" s="76" t="s">
        <v>175</v>
      </c>
      <c r="D146" s="76" t="s">
        <v>118</v>
      </c>
      <c r="E146" s="224"/>
      <c r="F146" s="225">
        <v>1000</v>
      </c>
      <c r="G146" s="225"/>
      <c r="H146" s="224">
        <f t="shared" si="2"/>
        <v>2500</v>
      </c>
      <c r="I146" s="76" t="s">
        <v>643</v>
      </c>
      <c r="J146" s="76" t="s">
        <v>2434</v>
      </c>
      <c r="K146" s="180"/>
    </row>
    <row r="147" spans="1:11" ht="15.75">
      <c r="A147" s="338">
        <v>45867</v>
      </c>
      <c r="B147" s="130" t="s">
        <v>2428</v>
      </c>
      <c r="C147" s="339" t="s">
        <v>123</v>
      </c>
      <c r="D147" s="339" t="s">
        <v>117</v>
      </c>
      <c r="E147" s="222">
        <v>115000</v>
      </c>
      <c r="F147" s="225"/>
      <c r="G147" s="225"/>
      <c r="H147" s="224">
        <f t="shared" si="2"/>
        <v>117500</v>
      </c>
      <c r="I147" s="76" t="s">
        <v>643</v>
      </c>
      <c r="J147" s="130" t="s">
        <v>2445</v>
      </c>
      <c r="K147" s="180"/>
    </row>
    <row r="148" spans="1:11" ht="15.75">
      <c r="A148" s="338">
        <v>45867</v>
      </c>
      <c r="B148" s="130" t="s">
        <v>1732</v>
      </c>
      <c r="C148" s="130" t="s">
        <v>172</v>
      </c>
      <c r="D148" s="130" t="s">
        <v>118</v>
      </c>
      <c r="E148" s="222">
        <v>300000</v>
      </c>
      <c r="F148" s="225"/>
      <c r="G148" s="225"/>
      <c r="H148" s="224">
        <f t="shared" si="2"/>
        <v>417500</v>
      </c>
      <c r="I148" s="76" t="s">
        <v>643</v>
      </c>
      <c r="J148" s="130" t="s">
        <v>2446</v>
      </c>
      <c r="K148" s="180"/>
    </row>
    <row r="149" spans="1:11" ht="15.75">
      <c r="A149" s="338">
        <v>45867</v>
      </c>
      <c r="B149" s="130" t="s">
        <v>2428</v>
      </c>
      <c r="C149" s="339" t="s">
        <v>123</v>
      </c>
      <c r="D149" s="339" t="s">
        <v>117</v>
      </c>
      <c r="E149" s="224"/>
      <c r="F149" s="222">
        <v>115000</v>
      </c>
      <c r="G149" s="222"/>
      <c r="H149" s="224">
        <f t="shared" si="2"/>
        <v>302500</v>
      </c>
      <c r="I149" s="76" t="s">
        <v>643</v>
      </c>
      <c r="J149" s="130" t="s">
        <v>2445</v>
      </c>
      <c r="K149" s="180"/>
    </row>
    <row r="150" spans="1:11" ht="15.75">
      <c r="A150" s="338">
        <v>45867</v>
      </c>
      <c r="B150" s="130" t="s">
        <v>1732</v>
      </c>
      <c r="C150" s="130" t="s">
        <v>172</v>
      </c>
      <c r="D150" s="130" t="s">
        <v>118</v>
      </c>
      <c r="E150" s="224"/>
      <c r="F150" s="222">
        <v>300000</v>
      </c>
      <c r="G150" s="222"/>
      <c r="H150" s="224">
        <f t="shared" si="2"/>
        <v>2500</v>
      </c>
      <c r="I150" s="76" t="s">
        <v>643</v>
      </c>
      <c r="J150" s="130" t="s">
        <v>2446</v>
      </c>
      <c r="K150" s="180"/>
    </row>
    <row r="151" spans="1:11" ht="15.75">
      <c r="A151" s="340">
        <v>45868</v>
      </c>
      <c r="B151" s="76" t="s">
        <v>2429</v>
      </c>
      <c r="C151" s="76" t="s">
        <v>175</v>
      </c>
      <c r="D151" s="76" t="s">
        <v>118</v>
      </c>
      <c r="E151" s="224"/>
      <c r="F151" s="225">
        <v>1000</v>
      </c>
      <c r="G151" s="222"/>
      <c r="H151" s="224">
        <f t="shared" si="2"/>
        <v>1500</v>
      </c>
      <c r="I151" s="76" t="s">
        <v>643</v>
      </c>
      <c r="J151" s="76" t="s">
        <v>2434</v>
      </c>
      <c r="K151" s="180"/>
    </row>
    <row r="152" spans="1:11" ht="15.75">
      <c r="A152" s="340">
        <v>45868</v>
      </c>
      <c r="B152" s="76" t="s">
        <v>2430</v>
      </c>
      <c r="C152" s="76" t="s">
        <v>175</v>
      </c>
      <c r="D152" s="76" t="s">
        <v>118</v>
      </c>
      <c r="E152" s="224"/>
      <c r="F152" s="225">
        <v>1000</v>
      </c>
      <c r="G152" s="222"/>
      <c r="H152" s="224">
        <f t="shared" si="2"/>
        <v>500</v>
      </c>
      <c r="I152" s="76" t="s">
        <v>643</v>
      </c>
      <c r="J152" s="76" t="s">
        <v>2434</v>
      </c>
      <c r="K152" s="180"/>
    </row>
    <row r="153" spans="1:11" ht="15.75">
      <c r="A153" s="338">
        <v>45868</v>
      </c>
      <c r="B153" s="130" t="s">
        <v>2431</v>
      </c>
      <c r="C153" s="130" t="s">
        <v>686</v>
      </c>
      <c r="D153" s="130" t="s">
        <v>118</v>
      </c>
      <c r="E153" s="222">
        <v>45050</v>
      </c>
      <c r="F153" s="225"/>
      <c r="G153" s="222"/>
      <c r="H153" s="224">
        <f t="shared" si="2"/>
        <v>45550</v>
      </c>
      <c r="I153" s="76" t="s">
        <v>643</v>
      </c>
      <c r="J153" s="130" t="s">
        <v>2447</v>
      </c>
      <c r="K153" s="180"/>
    </row>
    <row r="154" spans="1:11" ht="15.75">
      <c r="A154" s="338">
        <v>45868</v>
      </c>
      <c r="B154" s="130" t="s">
        <v>2431</v>
      </c>
      <c r="C154" s="130" t="s">
        <v>686</v>
      </c>
      <c r="D154" s="130" t="s">
        <v>118</v>
      </c>
      <c r="E154" s="224"/>
      <c r="F154" s="222">
        <v>45050</v>
      </c>
      <c r="G154" s="222"/>
      <c r="H154" s="224">
        <f t="shared" si="2"/>
        <v>500</v>
      </c>
      <c r="I154" s="76" t="s">
        <v>643</v>
      </c>
      <c r="J154" s="130" t="s">
        <v>2447</v>
      </c>
      <c r="K154" s="180"/>
    </row>
    <row r="155" spans="1:11" ht="15.75">
      <c r="A155" s="340">
        <v>45869</v>
      </c>
      <c r="B155" s="76" t="s">
        <v>2432</v>
      </c>
      <c r="C155" s="76" t="s">
        <v>175</v>
      </c>
      <c r="D155" s="76" t="s">
        <v>118</v>
      </c>
      <c r="E155" s="224"/>
      <c r="F155" s="225">
        <v>1000</v>
      </c>
      <c r="G155" s="222"/>
      <c r="H155" s="224">
        <f t="shared" si="2"/>
        <v>-500</v>
      </c>
      <c r="I155" s="76" t="s">
        <v>643</v>
      </c>
      <c r="J155" s="76" t="s">
        <v>2434</v>
      </c>
      <c r="K155" s="180"/>
    </row>
    <row r="156" spans="1:11" ht="15.75">
      <c r="A156" s="340">
        <v>45869</v>
      </c>
      <c r="B156" s="76" t="s">
        <v>2433</v>
      </c>
      <c r="C156" s="76" t="s">
        <v>175</v>
      </c>
      <c r="D156" s="76" t="s">
        <v>118</v>
      </c>
      <c r="E156" s="224"/>
      <c r="F156" s="225">
        <v>1000</v>
      </c>
      <c r="G156" s="222"/>
      <c r="H156" s="224">
        <f t="shared" si="2"/>
        <v>-1500</v>
      </c>
      <c r="I156" s="76" t="s">
        <v>643</v>
      </c>
      <c r="J156" s="76" t="s">
        <v>2434</v>
      </c>
      <c r="K156" s="180"/>
    </row>
    <row r="157" spans="1:11" ht="15.75">
      <c r="A157" s="191"/>
      <c r="B157" s="189"/>
      <c r="C157" s="189"/>
      <c r="D157" s="189"/>
      <c r="E157" s="193">
        <f>SUM(E98:E156)</f>
        <v>631149</v>
      </c>
      <c r="F157" s="193">
        <f>SUM(F97:F156)</f>
        <v>645149</v>
      </c>
      <c r="G157" s="193"/>
      <c r="H157" s="194">
        <f>+H97+E157-F157</f>
        <v>-1500</v>
      </c>
      <c r="I157" s="189"/>
      <c r="J157" s="189"/>
      <c r="K157" s="189"/>
    </row>
    <row r="158" spans="1:11" ht="15.75">
      <c r="A158" s="191"/>
      <c r="B158" s="189"/>
      <c r="C158" s="189"/>
      <c r="D158" s="189"/>
      <c r="E158" s="193"/>
      <c r="F158" s="193"/>
      <c r="G158" s="193"/>
      <c r="H158" s="194"/>
      <c r="I158" s="189"/>
      <c r="J158" s="189"/>
      <c r="K158" s="189"/>
    </row>
    <row r="159" spans="1:11" ht="15.75">
      <c r="A159" s="191"/>
      <c r="B159" s="189"/>
      <c r="C159" s="192" t="s">
        <v>515</v>
      </c>
      <c r="D159" s="189"/>
      <c r="E159" s="193"/>
      <c r="F159" s="193"/>
      <c r="G159" s="193"/>
      <c r="H159" s="194"/>
      <c r="I159" s="189"/>
      <c r="J159" s="189"/>
      <c r="K159" s="189"/>
    </row>
    <row r="160" spans="1:11" ht="15.75">
      <c r="A160" s="191"/>
      <c r="B160" s="189"/>
      <c r="C160" s="189"/>
      <c r="D160" s="189"/>
      <c r="E160" s="193"/>
      <c r="F160" s="193"/>
      <c r="G160" s="193"/>
      <c r="H160" s="194"/>
      <c r="I160" s="189"/>
      <c r="J160" s="189"/>
      <c r="K160" s="189"/>
    </row>
    <row r="161" spans="1:11" ht="15.75">
      <c r="A161" s="195" t="s">
        <v>0</v>
      </c>
      <c r="B161" s="196" t="s">
        <v>505</v>
      </c>
      <c r="C161" s="196" t="s">
        <v>506</v>
      </c>
      <c r="D161" s="196" t="s">
        <v>507</v>
      </c>
      <c r="E161" s="197" t="s">
        <v>508</v>
      </c>
      <c r="F161" s="197" t="s">
        <v>509</v>
      </c>
      <c r="G161" s="197"/>
      <c r="H161" s="204" t="s">
        <v>30</v>
      </c>
      <c r="I161" s="196" t="s">
        <v>510</v>
      </c>
      <c r="J161" s="196" t="s">
        <v>511</v>
      </c>
      <c r="K161" s="189"/>
    </row>
    <row r="162" spans="1:11" ht="15.75">
      <c r="A162" s="149">
        <v>45839</v>
      </c>
      <c r="B162" s="183" t="s">
        <v>2450</v>
      </c>
      <c r="C162" s="183"/>
      <c r="D162" s="183"/>
      <c r="E162" s="186"/>
      <c r="F162" s="186"/>
      <c r="G162" s="186"/>
      <c r="H162" s="187">
        <v>246710</v>
      </c>
      <c r="I162" s="187" t="s">
        <v>187</v>
      </c>
      <c r="J162" s="183"/>
      <c r="K162" s="189"/>
    </row>
    <row r="163" spans="1:11" ht="15.75">
      <c r="A163" s="257">
        <v>45854</v>
      </c>
      <c r="B163" s="147" t="s">
        <v>2221</v>
      </c>
      <c r="C163" s="147" t="s">
        <v>124</v>
      </c>
      <c r="D163" s="147" t="s">
        <v>121</v>
      </c>
      <c r="E163" s="147"/>
      <c r="F163" s="147">
        <v>40000</v>
      </c>
      <c r="G163" s="147"/>
      <c r="H163" s="258">
        <f t="shared" ref="H163:H164" si="3">+H162+E163-F163</f>
        <v>206710</v>
      </c>
      <c r="I163" s="147" t="s">
        <v>187</v>
      </c>
      <c r="J163" s="147" t="s">
        <v>2448</v>
      </c>
      <c r="K163" s="189"/>
    </row>
    <row r="164" spans="1:11" ht="15.75">
      <c r="A164" s="257">
        <v>45868</v>
      </c>
      <c r="B164" s="147" t="s">
        <v>2221</v>
      </c>
      <c r="C164" s="147" t="s">
        <v>124</v>
      </c>
      <c r="D164" s="147" t="s">
        <v>121</v>
      </c>
      <c r="E164" s="147"/>
      <c r="F164" s="147">
        <v>60000</v>
      </c>
      <c r="G164" s="147"/>
      <c r="H164" s="258">
        <f t="shared" si="3"/>
        <v>146710</v>
      </c>
      <c r="I164" s="147" t="s">
        <v>187</v>
      </c>
      <c r="J164" s="147" t="s">
        <v>2449</v>
      </c>
      <c r="K164" s="189"/>
    </row>
    <row r="165" spans="1:11" ht="15.75">
      <c r="A165" s="181"/>
      <c r="B165" s="189"/>
      <c r="C165" s="189"/>
      <c r="D165" s="189"/>
      <c r="E165" s="202">
        <f>SUM(E163:E164)</f>
        <v>0</v>
      </c>
      <c r="F165" s="202">
        <f>SUM(F163:F164)</f>
        <v>100000</v>
      </c>
      <c r="G165" s="202"/>
      <c r="H165" s="210">
        <f>+E165-F165+H162</f>
        <v>146710</v>
      </c>
      <c r="I165" s="189"/>
      <c r="J165" s="189"/>
      <c r="K165" s="189"/>
    </row>
    <row r="166" spans="1:11" ht="15.75">
      <c r="A166" s="191"/>
      <c r="B166" s="189"/>
      <c r="C166" s="189"/>
      <c r="D166" s="189"/>
      <c r="E166" s="193"/>
      <c r="F166" s="193"/>
      <c r="G166" s="193"/>
      <c r="H166" s="194"/>
      <c r="I166" s="189"/>
      <c r="J166" s="189"/>
      <c r="K166" s="189"/>
    </row>
    <row r="167" spans="1:11" ht="15.75">
      <c r="A167" s="191"/>
      <c r="B167" s="189"/>
      <c r="C167" s="192" t="s">
        <v>516</v>
      </c>
      <c r="D167" s="189"/>
      <c r="E167" s="193"/>
      <c r="F167" s="193"/>
      <c r="G167" s="193"/>
      <c r="H167" s="194"/>
      <c r="I167" s="189"/>
      <c r="J167" s="189"/>
      <c r="K167" s="189"/>
    </row>
    <row r="168" spans="1:11" ht="15.75">
      <c r="A168" s="191"/>
      <c r="B168" s="189"/>
      <c r="C168" s="189"/>
      <c r="D168" s="189"/>
      <c r="E168" s="193"/>
      <c r="F168" s="193"/>
      <c r="G168" s="193"/>
      <c r="H168" s="194"/>
      <c r="I168" s="189"/>
      <c r="J168" s="189"/>
      <c r="K168" s="189"/>
    </row>
    <row r="169" spans="1:11" ht="15.75">
      <c r="A169" s="195" t="s">
        <v>0</v>
      </c>
      <c r="B169" s="196" t="s">
        <v>505</v>
      </c>
      <c r="C169" s="196" t="s">
        <v>506</v>
      </c>
      <c r="D169" s="196" t="s">
        <v>507</v>
      </c>
      <c r="E169" s="197" t="s">
        <v>508</v>
      </c>
      <c r="F169" s="197" t="s">
        <v>509</v>
      </c>
      <c r="G169" s="197"/>
      <c r="H169" s="204" t="s">
        <v>30</v>
      </c>
      <c r="I169" s="196" t="s">
        <v>510</v>
      </c>
      <c r="J169" s="196" t="s">
        <v>511</v>
      </c>
      <c r="K169" s="199"/>
    </row>
    <row r="170" spans="1:11" ht="15.75">
      <c r="A170" s="149">
        <v>45839</v>
      </c>
      <c r="B170" s="183" t="s">
        <v>2450</v>
      </c>
      <c r="C170" s="183"/>
      <c r="D170" s="183"/>
      <c r="E170" s="186"/>
      <c r="F170" s="186"/>
      <c r="G170" s="186"/>
      <c r="H170" s="187">
        <v>157950</v>
      </c>
      <c r="I170" s="183" t="s">
        <v>176</v>
      </c>
      <c r="J170" s="183"/>
      <c r="K170" s="189"/>
    </row>
    <row r="171" spans="1:11" ht="15.75">
      <c r="A171" s="228">
        <v>45868</v>
      </c>
      <c r="B171" s="76" t="s">
        <v>2451</v>
      </c>
      <c r="C171" s="76" t="s">
        <v>1108</v>
      </c>
      <c r="D171" s="76" t="s">
        <v>121</v>
      </c>
      <c r="E171" s="76"/>
      <c r="F171" s="234">
        <v>50000</v>
      </c>
      <c r="G171" s="234"/>
      <c r="H171" s="229">
        <f t="shared" ref="H171" si="4">H170+E171-F171</f>
        <v>107950</v>
      </c>
      <c r="I171" s="76" t="s">
        <v>176</v>
      </c>
      <c r="J171" s="76" t="s">
        <v>2452</v>
      </c>
      <c r="K171" s="189"/>
    </row>
    <row r="172" spans="1:11" ht="15.75">
      <c r="A172" s="181"/>
      <c r="B172" s="189"/>
      <c r="C172" s="189"/>
      <c r="D172" s="189"/>
      <c r="E172" s="202">
        <f>SUM(E171:E171)</f>
        <v>0</v>
      </c>
      <c r="F172" s="202">
        <f>SUM(F171:F171)</f>
        <v>50000</v>
      </c>
      <c r="G172" s="202"/>
      <c r="H172" s="210">
        <f>+E172-F172+H170</f>
        <v>107950</v>
      </c>
      <c r="I172" s="189"/>
      <c r="J172" s="189"/>
      <c r="K172" s="189"/>
    </row>
    <row r="173" spans="1:11" ht="15.75">
      <c r="A173" s="181"/>
      <c r="B173" s="189"/>
      <c r="C173" s="189"/>
      <c r="D173" s="189"/>
      <c r="E173" s="202"/>
      <c r="F173" s="202"/>
      <c r="G173" s="202"/>
      <c r="H173" s="210"/>
      <c r="I173" s="189"/>
      <c r="J173" s="189"/>
      <c r="K173" s="189"/>
    </row>
    <row r="174" spans="1:11" ht="15.75">
      <c r="A174" s="191"/>
      <c r="B174" s="189"/>
      <c r="C174" s="192" t="s">
        <v>514</v>
      </c>
      <c r="D174" s="189"/>
      <c r="E174" s="193"/>
      <c r="F174" s="193"/>
      <c r="G174" s="193"/>
      <c r="H174" s="194"/>
      <c r="I174" s="189"/>
      <c r="J174" s="189"/>
      <c r="K174" s="189"/>
    </row>
    <row r="175" spans="1:11" ht="15.75">
      <c r="A175" s="191"/>
      <c r="B175" s="189"/>
      <c r="C175" s="189"/>
      <c r="D175" s="189"/>
      <c r="E175" s="193"/>
      <c r="F175" s="193"/>
      <c r="G175" s="193"/>
      <c r="H175" s="194"/>
      <c r="I175" s="189"/>
      <c r="J175" s="189"/>
      <c r="K175" s="189"/>
    </row>
    <row r="176" spans="1:11" ht="15.75">
      <c r="A176" s="195" t="s">
        <v>0</v>
      </c>
      <c r="B176" s="196" t="s">
        <v>505</v>
      </c>
      <c r="C176" s="196" t="s">
        <v>506</v>
      </c>
      <c r="D176" s="196" t="s">
        <v>507</v>
      </c>
      <c r="E176" s="197" t="s">
        <v>508</v>
      </c>
      <c r="F176" s="197" t="s">
        <v>509</v>
      </c>
      <c r="G176" s="197"/>
      <c r="H176" s="204" t="s">
        <v>30</v>
      </c>
      <c r="I176" s="196" t="s">
        <v>510</v>
      </c>
      <c r="J176" s="196" t="s">
        <v>511</v>
      </c>
      <c r="K176" s="189"/>
    </row>
    <row r="177" spans="1:11" ht="15.75">
      <c r="A177" s="149">
        <v>45839</v>
      </c>
      <c r="B177" s="183" t="s">
        <v>2388</v>
      </c>
      <c r="C177" s="183"/>
      <c r="D177" s="183"/>
      <c r="E177" s="186"/>
      <c r="F177" s="186"/>
      <c r="G177" s="186"/>
      <c r="H177" s="186">
        <v>7300</v>
      </c>
      <c r="I177" s="187" t="s">
        <v>332</v>
      </c>
      <c r="J177" s="183"/>
      <c r="K177" s="189"/>
    </row>
    <row r="178" spans="1:11" ht="15.75">
      <c r="A178" s="181"/>
      <c r="B178" s="189"/>
      <c r="C178" s="189"/>
      <c r="D178" s="189"/>
      <c r="E178" s="202">
        <f>SUM(E177:E177)</f>
        <v>0</v>
      </c>
      <c r="F178" s="202">
        <f>SUM(F177:F177)</f>
        <v>0</v>
      </c>
      <c r="G178" s="202"/>
      <c r="H178" s="210">
        <f>+E178-F178+H177</f>
        <v>7300</v>
      </c>
      <c r="I178" s="189"/>
      <c r="J178" s="189"/>
      <c r="K178" s="189"/>
    </row>
    <row r="179" spans="1:11" ht="15.75">
      <c r="A179" s="181"/>
      <c r="B179" s="189"/>
      <c r="C179" s="189"/>
      <c r="D179" s="189"/>
      <c r="E179" s="202"/>
      <c r="F179" s="202"/>
      <c r="G179" s="202"/>
      <c r="H179" s="210"/>
      <c r="I179" s="189"/>
      <c r="J179" s="189"/>
      <c r="K179" s="189"/>
    </row>
    <row r="180" spans="1:11" ht="15.75">
      <c r="A180" s="191"/>
      <c r="B180" s="189"/>
      <c r="C180" s="192" t="s">
        <v>517</v>
      </c>
      <c r="D180" s="189"/>
      <c r="E180" s="193"/>
      <c r="F180" s="193"/>
      <c r="G180" s="193"/>
      <c r="H180" s="194"/>
      <c r="I180" s="189"/>
      <c r="J180" s="189"/>
      <c r="K180" s="189"/>
    </row>
    <row r="181" spans="1:11" ht="15.75">
      <c r="A181" s="191"/>
      <c r="B181" s="189"/>
      <c r="C181" s="189"/>
      <c r="D181" s="189"/>
      <c r="E181" s="193"/>
      <c r="F181" s="193"/>
      <c r="G181" s="193"/>
      <c r="H181" s="194"/>
      <c r="I181" s="189"/>
      <c r="J181" s="189"/>
      <c r="K181" s="189"/>
    </row>
    <row r="182" spans="1:11" ht="15.75">
      <c r="A182" s="195" t="s">
        <v>0</v>
      </c>
      <c r="B182" s="196" t="s">
        <v>505</v>
      </c>
      <c r="C182" s="196" t="s">
        <v>506</v>
      </c>
      <c r="D182" s="196" t="s">
        <v>507</v>
      </c>
      <c r="E182" s="197" t="s">
        <v>508</v>
      </c>
      <c r="F182" s="197" t="s">
        <v>509</v>
      </c>
      <c r="G182" s="197"/>
      <c r="H182" s="204" t="s">
        <v>30</v>
      </c>
      <c r="I182" s="196" t="s">
        <v>510</v>
      </c>
      <c r="J182" s="196" t="s">
        <v>511</v>
      </c>
      <c r="K182" s="199"/>
    </row>
    <row r="183" spans="1:11" ht="15.75">
      <c r="A183" s="149">
        <v>45839</v>
      </c>
      <c r="B183" s="183" t="s">
        <v>2388</v>
      </c>
      <c r="C183" s="183"/>
      <c r="D183" s="183"/>
      <c r="E183" s="186"/>
      <c r="F183" s="186"/>
      <c r="G183" s="186"/>
      <c r="H183" s="211">
        <v>14050</v>
      </c>
      <c r="I183" s="183" t="s">
        <v>343</v>
      </c>
      <c r="J183" s="183"/>
      <c r="K183" s="189"/>
    </row>
    <row r="184" spans="1:11" ht="15.75">
      <c r="A184" s="228">
        <v>45869</v>
      </c>
      <c r="B184" s="76" t="s">
        <v>2453</v>
      </c>
      <c r="C184" s="76" t="s">
        <v>124</v>
      </c>
      <c r="D184" s="76" t="s">
        <v>121</v>
      </c>
      <c r="E184" s="226"/>
      <c r="F184" s="226">
        <v>14050</v>
      </c>
      <c r="G184" s="229"/>
      <c r="H184" s="229">
        <f t="shared" ref="H184" si="5">+H183+E184-F184</f>
        <v>0</v>
      </c>
      <c r="I184" s="130" t="s">
        <v>343</v>
      </c>
      <c r="J184" s="130" t="s">
        <v>2536</v>
      </c>
      <c r="K184" s="189"/>
    </row>
    <row r="185" spans="1:11" ht="15">
      <c r="A185" s="213"/>
      <c r="B185" s="209"/>
      <c r="C185" s="209"/>
      <c r="D185" s="209"/>
      <c r="E185" s="214">
        <f>SUM(E184:E184)</f>
        <v>0</v>
      </c>
      <c r="F185" s="214">
        <f>SUM(F184:F184)</f>
        <v>14050</v>
      </c>
      <c r="G185" s="214"/>
      <c r="H185" s="251">
        <f>H183+E185-F185</f>
        <v>0</v>
      </c>
      <c r="I185" s="209"/>
      <c r="J185" s="209"/>
      <c r="K185" s="209"/>
    </row>
    <row r="186" spans="1:11" ht="15.75">
      <c r="A186" s="191"/>
      <c r="B186" s="189"/>
      <c r="C186" s="192" t="s">
        <v>518</v>
      </c>
      <c r="D186" s="189"/>
      <c r="E186" s="193"/>
      <c r="F186" s="193"/>
      <c r="G186" s="193"/>
      <c r="H186" s="194"/>
      <c r="I186" s="189"/>
      <c r="J186" s="189"/>
      <c r="K186" s="189"/>
    </row>
    <row r="187" spans="1:11" ht="15.75">
      <c r="A187" s="191"/>
      <c r="B187" s="189"/>
      <c r="C187" s="189"/>
      <c r="D187" s="189"/>
      <c r="E187" s="193"/>
      <c r="F187" s="193"/>
      <c r="G187" s="193"/>
      <c r="H187" s="194"/>
      <c r="I187" s="189"/>
      <c r="J187" s="189"/>
      <c r="K187" s="189"/>
    </row>
    <row r="188" spans="1:11" ht="15.75">
      <c r="A188" s="195" t="s">
        <v>0</v>
      </c>
      <c r="B188" s="196" t="s">
        <v>505</v>
      </c>
      <c r="C188" s="196" t="s">
        <v>506</v>
      </c>
      <c r="D188" s="196" t="s">
        <v>507</v>
      </c>
      <c r="E188" s="197" t="s">
        <v>508</v>
      </c>
      <c r="F188" s="197" t="s">
        <v>509</v>
      </c>
      <c r="G188" s="197"/>
      <c r="H188" s="198" t="s">
        <v>30</v>
      </c>
      <c r="I188" s="196" t="s">
        <v>510</v>
      </c>
      <c r="J188" s="196" t="s">
        <v>511</v>
      </c>
      <c r="K188" s="199"/>
    </row>
    <row r="189" spans="1:11" ht="15.75">
      <c r="A189" s="149">
        <v>45839</v>
      </c>
      <c r="B189" s="183" t="s">
        <v>2534</v>
      </c>
      <c r="C189" s="183"/>
      <c r="D189" s="183"/>
      <c r="E189" s="186"/>
      <c r="F189" s="186"/>
      <c r="G189" s="186"/>
      <c r="H189" s="215">
        <v>9950</v>
      </c>
      <c r="I189" s="183" t="s">
        <v>193</v>
      </c>
      <c r="J189" s="183"/>
      <c r="K189" s="189"/>
    </row>
    <row r="190" spans="1:11" ht="15.75">
      <c r="A190" s="233">
        <v>45859</v>
      </c>
      <c r="B190" s="76" t="s">
        <v>2454</v>
      </c>
      <c r="C190" s="76" t="s">
        <v>175</v>
      </c>
      <c r="D190" s="76" t="s">
        <v>117</v>
      </c>
      <c r="E190" s="224"/>
      <c r="F190" s="225">
        <v>2000</v>
      </c>
      <c r="G190" s="225"/>
      <c r="H190" s="229">
        <f t="shared" ref="H190:H202" si="6">+H189+E190-F190</f>
        <v>7950</v>
      </c>
      <c r="I190" s="76" t="s">
        <v>193</v>
      </c>
      <c r="J190" s="76" t="s">
        <v>2462</v>
      </c>
      <c r="K190" s="189"/>
    </row>
    <row r="191" spans="1:11" ht="15.75">
      <c r="A191" s="233">
        <v>45859</v>
      </c>
      <c r="B191" s="76" t="s">
        <v>2455</v>
      </c>
      <c r="C191" s="76" t="s">
        <v>175</v>
      </c>
      <c r="D191" s="76" t="s">
        <v>117</v>
      </c>
      <c r="E191" s="224"/>
      <c r="F191" s="225">
        <v>1500</v>
      </c>
      <c r="G191" s="225"/>
      <c r="H191" s="229">
        <f t="shared" si="6"/>
        <v>6450</v>
      </c>
      <c r="I191" s="76" t="s">
        <v>193</v>
      </c>
      <c r="J191" s="76" t="s">
        <v>2462</v>
      </c>
      <c r="K191" s="189"/>
    </row>
    <row r="192" spans="1:11" ht="15.75">
      <c r="A192" s="233">
        <v>45859</v>
      </c>
      <c r="B192" s="76" t="s">
        <v>2456</v>
      </c>
      <c r="C192" s="76" t="s">
        <v>175</v>
      </c>
      <c r="D192" s="76" t="s">
        <v>117</v>
      </c>
      <c r="E192" s="224"/>
      <c r="F192" s="225">
        <v>1500</v>
      </c>
      <c r="G192" s="222"/>
      <c r="H192" s="229">
        <f t="shared" si="6"/>
        <v>4950</v>
      </c>
      <c r="I192" s="76" t="s">
        <v>193</v>
      </c>
      <c r="J192" s="76" t="s">
        <v>2462</v>
      </c>
      <c r="K192" s="189"/>
    </row>
    <row r="193" spans="1:11" ht="15.75">
      <c r="A193" s="233">
        <v>45859</v>
      </c>
      <c r="B193" s="76" t="s">
        <v>2457</v>
      </c>
      <c r="C193" s="76" t="s">
        <v>175</v>
      </c>
      <c r="D193" s="76" t="s">
        <v>117</v>
      </c>
      <c r="E193" s="224"/>
      <c r="F193" s="225">
        <v>2000</v>
      </c>
      <c r="G193" s="225"/>
      <c r="H193" s="229">
        <f t="shared" si="6"/>
        <v>2950</v>
      </c>
      <c r="I193" s="76" t="s">
        <v>193</v>
      </c>
      <c r="J193" s="76" t="s">
        <v>2462</v>
      </c>
      <c r="K193" s="189"/>
    </row>
    <row r="194" spans="1:11" ht="15.75">
      <c r="A194" s="233">
        <v>45859</v>
      </c>
      <c r="B194" s="76" t="s">
        <v>2458</v>
      </c>
      <c r="C194" s="76" t="s">
        <v>175</v>
      </c>
      <c r="D194" s="76" t="s">
        <v>117</v>
      </c>
      <c r="E194" s="224"/>
      <c r="F194" s="225">
        <v>2000</v>
      </c>
      <c r="G194" s="225"/>
      <c r="H194" s="229">
        <f t="shared" si="6"/>
        <v>950</v>
      </c>
      <c r="I194" s="76" t="s">
        <v>193</v>
      </c>
      <c r="J194" s="76" t="s">
        <v>2462</v>
      </c>
      <c r="K194" s="189"/>
    </row>
    <row r="195" spans="1:11" ht="15.75">
      <c r="A195" s="233">
        <v>45859</v>
      </c>
      <c r="B195" s="76" t="s">
        <v>2459</v>
      </c>
      <c r="C195" s="76" t="s">
        <v>175</v>
      </c>
      <c r="D195" s="76" t="s">
        <v>117</v>
      </c>
      <c r="E195" s="224"/>
      <c r="F195" s="225">
        <v>1000</v>
      </c>
      <c r="G195" s="225"/>
      <c r="H195" s="229">
        <f t="shared" si="6"/>
        <v>-50</v>
      </c>
      <c r="I195" s="76" t="s">
        <v>193</v>
      </c>
      <c r="J195" s="76" t="s">
        <v>2462</v>
      </c>
      <c r="K195" s="189"/>
    </row>
    <row r="196" spans="1:11" ht="15.75">
      <c r="A196" s="233">
        <v>45859</v>
      </c>
      <c r="B196" s="76" t="s">
        <v>931</v>
      </c>
      <c r="C196" s="76" t="s">
        <v>172</v>
      </c>
      <c r="D196" s="76" t="s">
        <v>2535</v>
      </c>
      <c r="E196" s="224">
        <v>31250</v>
      </c>
      <c r="F196" s="225"/>
      <c r="G196" s="225"/>
      <c r="H196" s="229">
        <f t="shared" si="6"/>
        <v>31200</v>
      </c>
      <c r="I196" s="91" t="s">
        <v>193</v>
      </c>
      <c r="J196" s="132" t="s">
        <v>2463</v>
      </c>
      <c r="K196" s="189"/>
    </row>
    <row r="197" spans="1:11" ht="15.75">
      <c r="A197" s="233">
        <v>45859</v>
      </c>
      <c r="B197" s="76" t="s">
        <v>931</v>
      </c>
      <c r="C197" s="76" t="s">
        <v>172</v>
      </c>
      <c r="D197" s="76" t="s">
        <v>2535</v>
      </c>
      <c r="E197" s="224"/>
      <c r="F197" s="225">
        <v>31250</v>
      </c>
      <c r="G197" s="225"/>
      <c r="H197" s="229">
        <f t="shared" si="6"/>
        <v>-50</v>
      </c>
      <c r="I197" s="91" t="s">
        <v>193</v>
      </c>
      <c r="J197" s="132" t="s">
        <v>2463</v>
      </c>
      <c r="K197" s="189"/>
    </row>
    <row r="198" spans="1:11" ht="15.75">
      <c r="A198" s="233">
        <v>45866</v>
      </c>
      <c r="B198" s="76" t="s">
        <v>2460</v>
      </c>
      <c r="C198" s="224" t="s">
        <v>124</v>
      </c>
      <c r="D198" s="76" t="s">
        <v>117</v>
      </c>
      <c r="E198" s="224">
        <v>10000</v>
      </c>
      <c r="F198" s="225"/>
      <c r="G198" s="225"/>
      <c r="H198" s="229">
        <f t="shared" si="6"/>
        <v>9950</v>
      </c>
      <c r="I198" s="76" t="s">
        <v>193</v>
      </c>
      <c r="J198" s="76" t="s">
        <v>2464</v>
      </c>
      <c r="K198" s="189"/>
    </row>
    <row r="199" spans="1:11" ht="15.75">
      <c r="A199" s="233">
        <v>45867</v>
      </c>
      <c r="B199" s="130" t="s">
        <v>610</v>
      </c>
      <c r="C199" s="76" t="s">
        <v>172</v>
      </c>
      <c r="D199" s="76" t="s">
        <v>118</v>
      </c>
      <c r="E199" s="224">
        <v>25000</v>
      </c>
      <c r="F199" s="225"/>
      <c r="G199" s="225"/>
      <c r="H199" s="229">
        <f t="shared" si="6"/>
        <v>34950</v>
      </c>
      <c r="I199" s="76" t="s">
        <v>193</v>
      </c>
      <c r="J199" s="130" t="s">
        <v>2465</v>
      </c>
      <c r="K199" s="189"/>
    </row>
    <row r="200" spans="1:11" ht="15.75">
      <c r="A200" s="233">
        <v>45867</v>
      </c>
      <c r="B200" s="130" t="s">
        <v>610</v>
      </c>
      <c r="C200" s="76" t="s">
        <v>172</v>
      </c>
      <c r="D200" s="76" t="s">
        <v>118</v>
      </c>
      <c r="E200" s="224"/>
      <c r="F200" s="225">
        <v>25000</v>
      </c>
      <c r="G200" s="225"/>
      <c r="H200" s="229">
        <f t="shared" si="6"/>
        <v>9950</v>
      </c>
      <c r="I200" s="76" t="s">
        <v>193</v>
      </c>
      <c r="J200" s="130" t="s">
        <v>2465</v>
      </c>
      <c r="K200" s="189"/>
    </row>
    <row r="201" spans="1:11" ht="15.75">
      <c r="A201" s="233">
        <v>45869</v>
      </c>
      <c r="B201" s="76" t="s">
        <v>2650</v>
      </c>
      <c r="C201" s="76" t="s">
        <v>152</v>
      </c>
      <c r="D201" s="76" t="s">
        <v>117</v>
      </c>
      <c r="E201" s="224">
        <v>5000</v>
      </c>
      <c r="F201" s="225"/>
      <c r="G201" s="225"/>
      <c r="H201" s="229">
        <f t="shared" si="6"/>
        <v>14950</v>
      </c>
      <c r="I201" s="76" t="s">
        <v>193</v>
      </c>
      <c r="J201" s="76" t="s">
        <v>2466</v>
      </c>
      <c r="K201" s="189"/>
    </row>
    <row r="202" spans="1:11" ht="15.75">
      <c r="A202" s="233">
        <v>45869</v>
      </c>
      <c r="B202" s="76" t="s">
        <v>2650</v>
      </c>
      <c r="C202" s="76" t="s">
        <v>152</v>
      </c>
      <c r="D202" s="76" t="s">
        <v>117</v>
      </c>
      <c r="E202" s="224"/>
      <c r="F202" s="225">
        <v>5000</v>
      </c>
      <c r="G202" s="225"/>
      <c r="H202" s="229">
        <f t="shared" si="6"/>
        <v>9950</v>
      </c>
      <c r="I202" s="76" t="s">
        <v>193</v>
      </c>
      <c r="J202" s="76" t="s">
        <v>2466</v>
      </c>
      <c r="K202" s="189"/>
    </row>
    <row r="203" spans="1:11" ht="15.75">
      <c r="A203" s="184"/>
      <c r="B203" s="209"/>
      <c r="C203" s="209"/>
      <c r="D203" s="209"/>
      <c r="E203" s="152">
        <f>SUM(E190:E202)</f>
        <v>71250</v>
      </c>
      <c r="F203" s="152">
        <f>SUM(F190:F202)</f>
        <v>71250</v>
      </c>
      <c r="G203" s="152"/>
      <c r="H203" s="212">
        <f>E203-F203+H189</f>
        <v>9950</v>
      </c>
      <c r="I203" s="189"/>
      <c r="J203" s="189"/>
      <c r="K203" s="189"/>
    </row>
    <row r="204" spans="1:11" ht="15.75">
      <c r="A204" s="184"/>
      <c r="B204" s="209"/>
      <c r="C204" s="209"/>
      <c r="D204" s="209"/>
      <c r="E204" s="216"/>
      <c r="F204" s="193"/>
      <c r="G204" s="193"/>
      <c r="H204" s="212"/>
      <c r="I204" s="189"/>
      <c r="J204" s="189"/>
      <c r="K204" s="189"/>
    </row>
    <row r="205" spans="1:11" ht="15.75">
      <c r="A205" s="184"/>
      <c r="B205" s="209"/>
      <c r="C205" s="209"/>
      <c r="D205" s="209"/>
      <c r="E205" s="216"/>
      <c r="F205" s="193"/>
      <c r="G205" s="193"/>
      <c r="H205" s="212"/>
      <c r="I205" s="189"/>
      <c r="J205" s="189"/>
      <c r="K205" s="189"/>
    </row>
    <row r="206" spans="1:11" ht="15.75">
      <c r="A206" s="184"/>
      <c r="B206" s="501" t="s">
        <v>2467</v>
      </c>
      <c r="C206" s="501"/>
      <c r="D206" s="501"/>
      <c r="E206" s="501"/>
      <c r="F206" s="193"/>
      <c r="G206" s="193"/>
      <c r="H206" s="212"/>
      <c r="I206" s="189"/>
      <c r="J206" s="189"/>
      <c r="K206" s="189"/>
    </row>
    <row r="207" spans="1:11" ht="15.75">
      <c r="A207" s="191"/>
      <c r="B207" s="189"/>
      <c r="C207" s="189"/>
      <c r="D207" s="189"/>
      <c r="E207" s="193"/>
      <c r="F207" s="193"/>
      <c r="G207" s="193"/>
      <c r="H207" s="194"/>
      <c r="I207" s="189"/>
      <c r="J207" s="189"/>
      <c r="K207" s="189"/>
    </row>
    <row r="208" spans="1:11" ht="15.75">
      <c r="A208" s="195" t="s">
        <v>0</v>
      </c>
      <c r="B208" s="196" t="s">
        <v>505</v>
      </c>
      <c r="C208" s="196" t="s">
        <v>506</v>
      </c>
      <c r="D208" s="196" t="s">
        <v>507</v>
      </c>
      <c r="E208" s="197" t="s">
        <v>508</v>
      </c>
      <c r="F208" s="197" t="s">
        <v>509</v>
      </c>
      <c r="G208" s="197"/>
      <c r="H208" s="204" t="s">
        <v>30</v>
      </c>
      <c r="I208" s="196" t="s">
        <v>510</v>
      </c>
      <c r="J208" s="196" t="s">
        <v>511</v>
      </c>
      <c r="K208" s="199"/>
    </row>
    <row r="209" spans="1:11" ht="15.75">
      <c r="A209" s="149">
        <v>45839</v>
      </c>
      <c r="B209" s="183" t="s">
        <v>2450</v>
      </c>
      <c r="C209" s="183"/>
      <c r="D209" s="183"/>
      <c r="E209" s="186"/>
      <c r="F209" s="186"/>
      <c r="G209" s="267"/>
      <c r="H209" s="182">
        <v>-6100</v>
      </c>
      <c r="I209" s="183" t="s">
        <v>196</v>
      </c>
      <c r="J209" s="183"/>
      <c r="K209" s="189"/>
    </row>
    <row r="210" spans="1:11" ht="15.75">
      <c r="A210" s="345">
        <v>45841</v>
      </c>
      <c r="B210" s="227" t="s">
        <v>519</v>
      </c>
      <c r="C210" s="264" t="s">
        <v>124</v>
      </c>
      <c r="D210" s="227" t="s">
        <v>117</v>
      </c>
      <c r="E210" s="346">
        <v>15000</v>
      </c>
      <c r="F210" s="347"/>
      <c r="G210" s="222"/>
      <c r="H210" s="229">
        <f t="shared" ref="H210:H226" si="7">+H209+E210-F210</f>
        <v>8900</v>
      </c>
      <c r="I210" s="227" t="s">
        <v>196</v>
      </c>
      <c r="J210" s="227" t="s">
        <v>2479</v>
      </c>
      <c r="K210" s="189"/>
    </row>
    <row r="211" spans="1:11" ht="15.75">
      <c r="A211" s="345">
        <v>45841</v>
      </c>
      <c r="B211" s="227" t="s">
        <v>2468</v>
      </c>
      <c r="C211" s="227" t="s">
        <v>175</v>
      </c>
      <c r="D211" s="227" t="s">
        <v>117</v>
      </c>
      <c r="E211" s="346"/>
      <c r="F211" s="347">
        <v>1000</v>
      </c>
      <c r="G211" s="222"/>
      <c r="H211" s="229">
        <f t="shared" si="7"/>
        <v>7900</v>
      </c>
      <c r="I211" s="227" t="s">
        <v>196</v>
      </c>
      <c r="J211" s="227" t="s">
        <v>2480</v>
      </c>
      <c r="K211" s="189"/>
    </row>
    <row r="212" spans="1:11" ht="15.75">
      <c r="A212" s="345">
        <v>45841</v>
      </c>
      <c r="B212" s="227" t="s">
        <v>2469</v>
      </c>
      <c r="C212" s="227" t="s">
        <v>175</v>
      </c>
      <c r="D212" s="227" t="s">
        <v>117</v>
      </c>
      <c r="E212" s="346"/>
      <c r="F212" s="347">
        <v>1000</v>
      </c>
      <c r="G212" s="225"/>
      <c r="H212" s="229">
        <f t="shared" si="7"/>
        <v>6900</v>
      </c>
      <c r="I212" s="227" t="s">
        <v>196</v>
      </c>
      <c r="J212" s="227" t="s">
        <v>2480</v>
      </c>
      <c r="K212" s="189"/>
    </row>
    <row r="213" spans="1:11" ht="15.75">
      <c r="A213" s="345">
        <v>45841</v>
      </c>
      <c r="B213" s="227" t="s">
        <v>2470</v>
      </c>
      <c r="C213" s="227" t="s">
        <v>175</v>
      </c>
      <c r="D213" s="227" t="s">
        <v>117</v>
      </c>
      <c r="E213" s="346"/>
      <c r="F213" s="347">
        <v>1000</v>
      </c>
      <c r="G213" s="225"/>
      <c r="H213" s="229">
        <f t="shared" si="7"/>
        <v>5900</v>
      </c>
      <c r="I213" s="227" t="s">
        <v>196</v>
      </c>
      <c r="J213" s="227" t="s">
        <v>2480</v>
      </c>
      <c r="K213" s="189"/>
    </row>
    <row r="214" spans="1:11" ht="15.75">
      <c r="A214" s="345">
        <v>45841</v>
      </c>
      <c r="B214" s="227" t="s">
        <v>2471</v>
      </c>
      <c r="C214" s="227" t="s">
        <v>175</v>
      </c>
      <c r="D214" s="227" t="s">
        <v>117</v>
      </c>
      <c r="E214" s="346"/>
      <c r="F214" s="347">
        <v>1000</v>
      </c>
      <c r="G214" s="225"/>
      <c r="H214" s="229">
        <f t="shared" si="7"/>
        <v>4900</v>
      </c>
      <c r="I214" s="227" t="s">
        <v>196</v>
      </c>
      <c r="J214" s="227" t="s">
        <v>2480</v>
      </c>
      <c r="K214" s="189"/>
    </row>
    <row r="215" spans="1:11" ht="15.75">
      <c r="A215" s="345">
        <v>45846</v>
      </c>
      <c r="B215" s="185" t="s">
        <v>2472</v>
      </c>
      <c r="C215" s="227" t="s">
        <v>172</v>
      </c>
      <c r="D215" s="227" t="s">
        <v>2535</v>
      </c>
      <c r="E215" s="346">
        <v>2000</v>
      </c>
      <c r="F215" s="347"/>
      <c r="G215" s="222"/>
      <c r="H215" s="229">
        <f t="shared" si="7"/>
        <v>6900</v>
      </c>
      <c r="I215" s="348" t="s">
        <v>196</v>
      </c>
      <c r="J215" s="266" t="s">
        <v>2481</v>
      </c>
      <c r="K215" s="189"/>
    </row>
    <row r="216" spans="1:11" ht="15.75">
      <c r="A216" s="345">
        <v>45846</v>
      </c>
      <c r="B216" s="185" t="s">
        <v>2472</v>
      </c>
      <c r="C216" s="227" t="s">
        <v>172</v>
      </c>
      <c r="D216" s="227" t="s">
        <v>2535</v>
      </c>
      <c r="E216" s="346"/>
      <c r="F216" s="347">
        <v>2000</v>
      </c>
      <c r="G216" s="222"/>
      <c r="H216" s="229">
        <f t="shared" si="7"/>
        <v>4900</v>
      </c>
      <c r="I216" s="348" t="s">
        <v>196</v>
      </c>
      <c r="J216" s="266" t="s">
        <v>2481</v>
      </c>
      <c r="K216" s="189"/>
    </row>
    <row r="217" spans="1:11" ht="15.75">
      <c r="A217" s="345">
        <v>45859</v>
      </c>
      <c r="B217" s="227" t="s">
        <v>2473</v>
      </c>
      <c r="C217" s="227" t="s">
        <v>175</v>
      </c>
      <c r="D217" s="227" t="s">
        <v>117</v>
      </c>
      <c r="E217" s="346"/>
      <c r="F217" s="347">
        <v>2000</v>
      </c>
      <c r="G217" s="225"/>
      <c r="H217" s="229">
        <f t="shared" si="7"/>
        <v>2900</v>
      </c>
      <c r="I217" s="227" t="s">
        <v>196</v>
      </c>
      <c r="J217" s="227" t="s">
        <v>2480</v>
      </c>
      <c r="K217" s="189"/>
    </row>
    <row r="218" spans="1:11" ht="15.75">
      <c r="A218" s="345">
        <v>45859</v>
      </c>
      <c r="B218" s="227" t="s">
        <v>2474</v>
      </c>
      <c r="C218" s="227" t="s">
        <v>175</v>
      </c>
      <c r="D218" s="227" t="s">
        <v>117</v>
      </c>
      <c r="E218" s="346"/>
      <c r="F218" s="347">
        <v>2000</v>
      </c>
      <c r="G218" s="225"/>
      <c r="H218" s="229">
        <f t="shared" si="7"/>
        <v>900</v>
      </c>
      <c r="I218" s="227" t="s">
        <v>196</v>
      </c>
      <c r="J218" s="227" t="s">
        <v>2480</v>
      </c>
      <c r="K218" s="189"/>
    </row>
    <row r="219" spans="1:11" ht="15.75">
      <c r="A219" s="345">
        <v>45859</v>
      </c>
      <c r="B219" s="227" t="s">
        <v>2475</v>
      </c>
      <c r="C219" s="227" t="s">
        <v>175</v>
      </c>
      <c r="D219" s="227" t="s">
        <v>117</v>
      </c>
      <c r="E219" s="346"/>
      <c r="F219" s="347">
        <v>3000</v>
      </c>
      <c r="G219" s="225"/>
      <c r="H219" s="229">
        <f t="shared" si="7"/>
        <v>-2100</v>
      </c>
      <c r="I219" s="227" t="s">
        <v>196</v>
      </c>
      <c r="J219" s="227" t="s">
        <v>2480</v>
      </c>
      <c r="K219" s="189"/>
    </row>
    <row r="220" spans="1:11" ht="15.75">
      <c r="A220" s="345">
        <v>45859</v>
      </c>
      <c r="B220" s="227" t="s">
        <v>931</v>
      </c>
      <c r="C220" s="227" t="s">
        <v>172</v>
      </c>
      <c r="D220" s="227" t="s">
        <v>2535</v>
      </c>
      <c r="E220" s="346">
        <v>31250</v>
      </c>
      <c r="F220" s="347"/>
      <c r="G220" s="225"/>
      <c r="H220" s="229">
        <f t="shared" si="7"/>
        <v>29150</v>
      </c>
      <c r="I220" s="348" t="s">
        <v>196</v>
      </c>
      <c r="J220" s="266" t="s">
        <v>2482</v>
      </c>
      <c r="K220" s="189"/>
    </row>
    <row r="221" spans="1:11" ht="15.75">
      <c r="A221" s="345">
        <v>45859</v>
      </c>
      <c r="B221" s="227" t="s">
        <v>931</v>
      </c>
      <c r="C221" s="227" t="s">
        <v>172</v>
      </c>
      <c r="D221" s="227" t="s">
        <v>2535</v>
      </c>
      <c r="E221" s="346"/>
      <c r="F221" s="347">
        <v>31250</v>
      </c>
      <c r="G221" s="225"/>
      <c r="H221" s="229">
        <f t="shared" si="7"/>
        <v>-2100</v>
      </c>
      <c r="I221" s="348" t="s">
        <v>196</v>
      </c>
      <c r="J221" s="266" t="s">
        <v>2482</v>
      </c>
      <c r="K221" s="189"/>
    </row>
    <row r="222" spans="1:11" ht="15.75">
      <c r="A222" s="345">
        <v>45866</v>
      </c>
      <c r="B222" s="227" t="s">
        <v>519</v>
      </c>
      <c r="C222" s="264" t="s">
        <v>124</v>
      </c>
      <c r="D222" s="227" t="s">
        <v>117</v>
      </c>
      <c r="E222" s="346">
        <v>10000</v>
      </c>
      <c r="F222" s="347"/>
      <c r="G222" s="225"/>
      <c r="H222" s="229">
        <f t="shared" si="7"/>
        <v>7900</v>
      </c>
      <c r="I222" s="227" t="s">
        <v>196</v>
      </c>
      <c r="J222" s="227" t="s">
        <v>2483</v>
      </c>
      <c r="K222" s="189"/>
    </row>
    <row r="223" spans="1:11" ht="15.75">
      <c r="A223" s="345">
        <v>45869</v>
      </c>
      <c r="B223" s="227" t="s">
        <v>2652</v>
      </c>
      <c r="C223" s="227" t="s">
        <v>152</v>
      </c>
      <c r="D223" s="227" t="s">
        <v>117</v>
      </c>
      <c r="E223" s="346">
        <v>5000</v>
      </c>
      <c r="F223" s="347"/>
      <c r="G223" s="225"/>
      <c r="H223" s="229">
        <f t="shared" si="7"/>
        <v>12900</v>
      </c>
      <c r="I223" s="227" t="s">
        <v>196</v>
      </c>
      <c r="J223" s="227" t="s">
        <v>2484</v>
      </c>
      <c r="K223" s="189"/>
    </row>
    <row r="224" spans="1:11" ht="15.75">
      <c r="A224" s="345">
        <v>45869</v>
      </c>
      <c r="B224" s="227" t="s">
        <v>2652</v>
      </c>
      <c r="C224" s="227" t="s">
        <v>152</v>
      </c>
      <c r="D224" s="227" t="s">
        <v>117</v>
      </c>
      <c r="E224" s="346"/>
      <c r="F224" s="347">
        <v>5000</v>
      </c>
      <c r="G224" s="225"/>
      <c r="H224" s="229">
        <f t="shared" si="7"/>
        <v>7900</v>
      </c>
      <c r="I224" s="227" t="s">
        <v>196</v>
      </c>
      <c r="J224" s="227" t="s">
        <v>2484</v>
      </c>
      <c r="K224" s="189"/>
    </row>
    <row r="225" spans="1:11" ht="15.75">
      <c r="A225" s="345">
        <v>45869</v>
      </c>
      <c r="B225" s="227" t="s">
        <v>2477</v>
      </c>
      <c r="C225" s="227" t="s">
        <v>175</v>
      </c>
      <c r="D225" s="227" t="s">
        <v>117</v>
      </c>
      <c r="E225" s="346"/>
      <c r="F225" s="347">
        <v>1000</v>
      </c>
      <c r="G225" s="225"/>
      <c r="H225" s="229">
        <f t="shared" si="7"/>
        <v>6900</v>
      </c>
      <c r="I225" s="227" t="s">
        <v>196</v>
      </c>
      <c r="J225" s="227" t="s">
        <v>2480</v>
      </c>
      <c r="K225" s="189"/>
    </row>
    <row r="226" spans="1:11" ht="15.75">
      <c r="A226" s="345">
        <v>45869</v>
      </c>
      <c r="B226" s="227" t="s">
        <v>2478</v>
      </c>
      <c r="C226" s="264" t="s">
        <v>175</v>
      </c>
      <c r="D226" s="227" t="s">
        <v>117</v>
      </c>
      <c r="E226" s="346"/>
      <c r="F226" s="347">
        <v>1000</v>
      </c>
      <c r="G226" s="225"/>
      <c r="H226" s="229">
        <f t="shared" si="7"/>
        <v>5900</v>
      </c>
      <c r="I226" s="227" t="s">
        <v>196</v>
      </c>
      <c r="J226" s="227" t="s">
        <v>2480</v>
      </c>
      <c r="K226" s="189"/>
    </row>
    <row r="227" spans="1:11" ht="15.75">
      <c r="A227" s="184"/>
      <c r="B227" s="209"/>
      <c r="C227" s="216"/>
      <c r="D227" s="209"/>
      <c r="E227" s="217">
        <f>SUM(E209:E226)</f>
        <v>63250</v>
      </c>
      <c r="F227" s="217">
        <f>SUM(F209:F226)</f>
        <v>51250</v>
      </c>
      <c r="G227" s="217"/>
      <c r="H227" s="217">
        <f>+E227-F227+H209</f>
        <v>5900</v>
      </c>
      <c r="I227" s="189"/>
      <c r="J227" s="189"/>
      <c r="K227" s="189"/>
    </row>
    <row r="228" spans="1:11" ht="15.75">
      <c r="A228" s="191"/>
      <c r="B228" s="189"/>
      <c r="C228" s="192" t="s">
        <v>2069</v>
      </c>
      <c r="D228" s="189"/>
      <c r="E228" s="193"/>
      <c r="F228" s="193"/>
      <c r="G228" s="193"/>
      <c r="H228" s="194"/>
      <c r="I228" s="189"/>
      <c r="J228" s="189"/>
      <c r="K228" s="189"/>
    </row>
    <row r="229" spans="1:11" ht="15.75">
      <c r="A229" s="191"/>
      <c r="B229" s="189"/>
      <c r="C229" s="189"/>
      <c r="D229" s="189"/>
      <c r="E229" s="193"/>
      <c r="F229" s="193"/>
      <c r="G229" s="193"/>
      <c r="H229" s="194"/>
      <c r="I229" s="189"/>
      <c r="J229" s="189"/>
      <c r="K229" s="189"/>
    </row>
    <row r="230" spans="1:11" ht="15.75">
      <c r="A230" s="195" t="s">
        <v>0</v>
      </c>
      <c r="B230" s="196" t="s">
        <v>505</v>
      </c>
      <c r="C230" s="196" t="s">
        <v>506</v>
      </c>
      <c r="D230" s="196" t="s">
        <v>507</v>
      </c>
      <c r="E230" s="197" t="s">
        <v>508</v>
      </c>
      <c r="F230" s="197" t="s">
        <v>509</v>
      </c>
      <c r="G230" s="197"/>
      <c r="H230" s="198" t="s">
        <v>520</v>
      </c>
      <c r="I230" s="196" t="s">
        <v>510</v>
      </c>
      <c r="J230" s="196" t="s">
        <v>511</v>
      </c>
      <c r="K230" s="199"/>
    </row>
    <row r="231" spans="1:11" ht="15.75">
      <c r="A231" s="149">
        <v>45839</v>
      </c>
      <c r="B231" s="183" t="s">
        <v>2388</v>
      </c>
      <c r="C231" s="183"/>
      <c r="D231" s="183"/>
      <c r="E231" s="186"/>
      <c r="F231" s="186"/>
      <c r="G231" s="186"/>
      <c r="H231" s="187">
        <v>7680</v>
      </c>
      <c r="I231" s="183" t="s">
        <v>200</v>
      </c>
      <c r="J231" s="183"/>
      <c r="K231" s="189"/>
    </row>
    <row r="232" spans="1:11" ht="15.75">
      <c r="A232" s="349">
        <v>45860</v>
      </c>
      <c r="B232" s="185" t="s">
        <v>2485</v>
      </c>
      <c r="C232" s="185" t="s">
        <v>124</v>
      </c>
      <c r="D232" s="261" t="s">
        <v>117</v>
      </c>
      <c r="E232" s="262">
        <v>50000</v>
      </c>
      <c r="F232" s="262"/>
      <c r="G232" s="262"/>
      <c r="H232" s="263">
        <f t="shared" ref="H232:H250" si="8">H231+E232-F232</f>
        <v>57680</v>
      </c>
      <c r="I232" s="261" t="s">
        <v>497</v>
      </c>
      <c r="J232" s="185" t="s">
        <v>2499</v>
      </c>
      <c r="K232" s="189"/>
    </row>
    <row r="233" spans="1:11" ht="15.75">
      <c r="A233" s="349">
        <v>45860</v>
      </c>
      <c r="B233" s="185" t="s">
        <v>2486</v>
      </c>
      <c r="C233" s="185" t="s">
        <v>152</v>
      </c>
      <c r="D233" s="185" t="s">
        <v>117</v>
      </c>
      <c r="E233" s="262">
        <v>5000</v>
      </c>
      <c r="F233" s="262"/>
      <c r="G233" s="264"/>
      <c r="H233" s="263">
        <f t="shared" si="8"/>
        <v>62680</v>
      </c>
      <c r="I233" s="261" t="s">
        <v>497</v>
      </c>
      <c r="J233" s="185" t="s">
        <v>2500</v>
      </c>
      <c r="K233" s="189"/>
    </row>
    <row r="234" spans="1:11" ht="15.75">
      <c r="A234" s="349">
        <v>45860</v>
      </c>
      <c r="B234" s="185" t="s">
        <v>2486</v>
      </c>
      <c r="C234" s="185" t="s">
        <v>152</v>
      </c>
      <c r="D234" s="185" t="s">
        <v>117</v>
      </c>
      <c r="E234" s="262"/>
      <c r="F234" s="262">
        <v>5000</v>
      </c>
      <c r="G234" s="264"/>
      <c r="H234" s="263">
        <f t="shared" si="8"/>
        <v>57680</v>
      </c>
      <c r="I234" s="261" t="s">
        <v>497</v>
      </c>
      <c r="J234" s="185" t="s">
        <v>2500</v>
      </c>
      <c r="K234" s="189"/>
    </row>
    <row r="235" spans="1:11" ht="15.75">
      <c r="A235" s="349">
        <v>45860</v>
      </c>
      <c r="B235" s="185" t="s">
        <v>2487</v>
      </c>
      <c r="C235" s="261" t="s">
        <v>199</v>
      </c>
      <c r="D235" s="261" t="s">
        <v>117</v>
      </c>
      <c r="E235" s="262"/>
      <c r="F235" s="262">
        <v>1000</v>
      </c>
      <c r="G235" s="262"/>
      <c r="H235" s="263">
        <f t="shared" si="8"/>
        <v>56680</v>
      </c>
      <c r="I235" s="261" t="s">
        <v>497</v>
      </c>
      <c r="J235" s="185" t="s">
        <v>2501</v>
      </c>
      <c r="K235" s="189"/>
    </row>
    <row r="236" spans="1:11" ht="15.75">
      <c r="A236" s="349">
        <v>45860</v>
      </c>
      <c r="B236" s="185" t="s">
        <v>1574</v>
      </c>
      <c r="C236" s="261" t="s">
        <v>199</v>
      </c>
      <c r="D236" s="261" t="s">
        <v>117</v>
      </c>
      <c r="E236" s="262"/>
      <c r="F236" s="262">
        <v>7000</v>
      </c>
      <c r="G236" s="264"/>
      <c r="H236" s="263">
        <f t="shared" si="8"/>
        <v>49680</v>
      </c>
      <c r="I236" s="261" t="s">
        <v>497</v>
      </c>
      <c r="J236" s="185" t="s">
        <v>2502</v>
      </c>
      <c r="K236" s="189"/>
    </row>
    <row r="237" spans="1:11" ht="15.75">
      <c r="A237" s="349">
        <v>45860</v>
      </c>
      <c r="B237" s="185" t="s">
        <v>2488</v>
      </c>
      <c r="C237" s="261" t="s">
        <v>199</v>
      </c>
      <c r="D237" s="261" t="s">
        <v>117</v>
      </c>
      <c r="E237" s="262"/>
      <c r="F237" s="262">
        <v>1000</v>
      </c>
      <c r="G237" s="262"/>
      <c r="H237" s="263">
        <f t="shared" si="8"/>
        <v>48680</v>
      </c>
      <c r="I237" s="261" t="s">
        <v>497</v>
      </c>
      <c r="J237" s="185" t="s">
        <v>2501</v>
      </c>
      <c r="K237" s="189"/>
    </row>
    <row r="238" spans="1:11" ht="15.75">
      <c r="A238" s="349">
        <v>45861</v>
      </c>
      <c r="B238" s="185" t="s">
        <v>2489</v>
      </c>
      <c r="C238" s="261" t="s">
        <v>199</v>
      </c>
      <c r="D238" s="261" t="s">
        <v>117</v>
      </c>
      <c r="E238" s="262"/>
      <c r="F238" s="262">
        <v>1000</v>
      </c>
      <c r="G238" s="262"/>
      <c r="H238" s="263">
        <f t="shared" si="8"/>
        <v>47680</v>
      </c>
      <c r="I238" s="261" t="s">
        <v>497</v>
      </c>
      <c r="J238" s="185" t="s">
        <v>2501</v>
      </c>
      <c r="K238" s="189"/>
    </row>
    <row r="239" spans="1:11" ht="15.75">
      <c r="A239" s="349">
        <v>45861</v>
      </c>
      <c r="B239" s="185" t="s">
        <v>2490</v>
      </c>
      <c r="C239" s="261" t="s">
        <v>199</v>
      </c>
      <c r="D239" s="261" t="s">
        <v>117</v>
      </c>
      <c r="E239" s="262"/>
      <c r="F239" s="262">
        <v>500</v>
      </c>
      <c r="G239" s="262"/>
      <c r="H239" s="263">
        <f t="shared" si="8"/>
        <v>47180</v>
      </c>
      <c r="I239" s="261" t="s">
        <v>497</v>
      </c>
      <c r="J239" s="185" t="s">
        <v>2501</v>
      </c>
      <c r="K239" s="189"/>
    </row>
    <row r="240" spans="1:11" ht="15.75">
      <c r="A240" s="349">
        <v>45861</v>
      </c>
      <c r="B240" s="265" t="s">
        <v>2491</v>
      </c>
      <c r="C240" s="265" t="s">
        <v>179</v>
      </c>
      <c r="D240" s="265" t="s">
        <v>117</v>
      </c>
      <c r="E240" s="262"/>
      <c r="F240" s="262">
        <v>20000</v>
      </c>
      <c r="G240" s="262"/>
      <c r="H240" s="263">
        <f t="shared" si="8"/>
        <v>27180</v>
      </c>
      <c r="I240" s="261" t="s">
        <v>497</v>
      </c>
      <c r="J240" s="185" t="s">
        <v>2503</v>
      </c>
      <c r="K240" s="189"/>
    </row>
    <row r="241" spans="1:11" ht="15.75">
      <c r="A241" s="349">
        <v>45862</v>
      </c>
      <c r="B241" s="185" t="s">
        <v>2492</v>
      </c>
      <c r="C241" s="261" t="s">
        <v>199</v>
      </c>
      <c r="D241" s="261" t="s">
        <v>117</v>
      </c>
      <c r="E241" s="262"/>
      <c r="F241" s="262">
        <v>500</v>
      </c>
      <c r="G241" s="262"/>
      <c r="H241" s="263">
        <f t="shared" si="8"/>
        <v>26680</v>
      </c>
      <c r="I241" s="261" t="s">
        <v>497</v>
      </c>
      <c r="J241" s="185" t="s">
        <v>2501</v>
      </c>
      <c r="K241" s="189"/>
    </row>
    <row r="242" spans="1:11" ht="15.75">
      <c r="A242" s="349">
        <v>45862</v>
      </c>
      <c r="B242" s="185" t="s">
        <v>2493</v>
      </c>
      <c r="C242" s="261" t="s">
        <v>199</v>
      </c>
      <c r="D242" s="261" t="s">
        <v>117</v>
      </c>
      <c r="E242" s="262"/>
      <c r="F242" s="262">
        <v>500</v>
      </c>
      <c r="G242" s="262"/>
      <c r="H242" s="263">
        <f t="shared" si="8"/>
        <v>26180</v>
      </c>
      <c r="I242" s="261" t="s">
        <v>497</v>
      </c>
      <c r="J242" s="185" t="s">
        <v>2501</v>
      </c>
      <c r="K242" s="189"/>
    </row>
    <row r="243" spans="1:11" ht="15.75">
      <c r="A243" s="349">
        <v>45862</v>
      </c>
      <c r="B243" s="185" t="s">
        <v>2494</v>
      </c>
      <c r="C243" s="261" t="s">
        <v>199</v>
      </c>
      <c r="D243" s="261" t="s">
        <v>117</v>
      </c>
      <c r="E243" s="262"/>
      <c r="F243" s="262">
        <v>500</v>
      </c>
      <c r="G243" s="262"/>
      <c r="H243" s="263">
        <f t="shared" si="8"/>
        <v>25680</v>
      </c>
      <c r="I243" s="261" t="s">
        <v>497</v>
      </c>
      <c r="J243" s="185" t="s">
        <v>2501</v>
      </c>
      <c r="K243" s="189"/>
    </row>
    <row r="244" spans="1:11" ht="15.75">
      <c r="A244" s="349">
        <v>45862</v>
      </c>
      <c r="B244" s="185" t="s">
        <v>2485</v>
      </c>
      <c r="C244" s="185" t="s">
        <v>124</v>
      </c>
      <c r="D244" s="261" t="s">
        <v>117</v>
      </c>
      <c r="E244" s="262">
        <v>20000</v>
      </c>
      <c r="F244" s="262"/>
      <c r="G244" s="262"/>
      <c r="H244" s="263">
        <f t="shared" si="8"/>
        <v>45680</v>
      </c>
      <c r="I244" s="261" t="s">
        <v>497</v>
      </c>
      <c r="J244" s="185" t="s">
        <v>2504</v>
      </c>
      <c r="K244" s="189"/>
    </row>
    <row r="245" spans="1:11" ht="15.75">
      <c r="A245" s="349">
        <v>45862</v>
      </c>
      <c r="B245" s="185" t="s">
        <v>537</v>
      </c>
      <c r="C245" s="261" t="s">
        <v>199</v>
      </c>
      <c r="D245" s="261" t="s">
        <v>117</v>
      </c>
      <c r="E245" s="262"/>
      <c r="F245" s="262">
        <v>7000</v>
      </c>
      <c r="G245" s="262"/>
      <c r="H245" s="263">
        <f t="shared" si="8"/>
        <v>38680</v>
      </c>
      <c r="I245" s="261" t="s">
        <v>497</v>
      </c>
      <c r="J245" s="185" t="s">
        <v>2505</v>
      </c>
      <c r="K245" s="189"/>
    </row>
    <row r="246" spans="1:11" ht="15.75">
      <c r="A246" s="349">
        <v>45863</v>
      </c>
      <c r="B246" s="265" t="s">
        <v>2495</v>
      </c>
      <c r="C246" s="265" t="s">
        <v>179</v>
      </c>
      <c r="D246" s="265" t="s">
        <v>117</v>
      </c>
      <c r="E246" s="262"/>
      <c r="F246" s="262">
        <v>30000</v>
      </c>
      <c r="G246" s="264"/>
      <c r="H246" s="263">
        <f t="shared" si="8"/>
        <v>8680</v>
      </c>
      <c r="I246" s="261" t="s">
        <v>497</v>
      </c>
      <c r="J246" s="185" t="s">
        <v>2506</v>
      </c>
      <c r="K246" s="189"/>
    </row>
    <row r="247" spans="1:11" ht="15.75">
      <c r="A247" s="349">
        <v>45863</v>
      </c>
      <c r="B247" s="185" t="s">
        <v>2496</v>
      </c>
      <c r="C247" s="261" t="s">
        <v>199</v>
      </c>
      <c r="D247" s="261" t="s">
        <v>117</v>
      </c>
      <c r="E247" s="262"/>
      <c r="F247" s="262">
        <v>500</v>
      </c>
      <c r="G247" s="262"/>
      <c r="H247" s="263">
        <f t="shared" si="8"/>
        <v>8180</v>
      </c>
      <c r="I247" s="261" t="s">
        <v>497</v>
      </c>
      <c r="J247" s="185" t="s">
        <v>2501</v>
      </c>
      <c r="K247" s="189"/>
    </row>
    <row r="248" spans="1:11" ht="15.75">
      <c r="A248" s="349">
        <v>45863</v>
      </c>
      <c r="B248" s="185" t="s">
        <v>2488</v>
      </c>
      <c r="C248" s="261" t="s">
        <v>199</v>
      </c>
      <c r="D248" s="261" t="s">
        <v>117</v>
      </c>
      <c r="E248" s="262"/>
      <c r="F248" s="262">
        <v>1000</v>
      </c>
      <c r="G248" s="264"/>
      <c r="H248" s="263">
        <f t="shared" si="8"/>
        <v>7180</v>
      </c>
      <c r="I248" s="261" t="s">
        <v>497</v>
      </c>
      <c r="J248" s="185" t="s">
        <v>2501</v>
      </c>
      <c r="K248" s="189"/>
    </row>
    <row r="249" spans="1:11" ht="15.75">
      <c r="A249" s="349">
        <v>45866</v>
      </c>
      <c r="B249" s="185" t="s">
        <v>2497</v>
      </c>
      <c r="C249" s="261" t="s">
        <v>199</v>
      </c>
      <c r="D249" s="261" t="s">
        <v>117</v>
      </c>
      <c r="E249" s="262"/>
      <c r="F249" s="262">
        <v>1000</v>
      </c>
      <c r="G249" s="264"/>
      <c r="H249" s="263">
        <f t="shared" si="8"/>
        <v>6180</v>
      </c>
      <c r="I249" s="261" t="s">
        <v>497</v>
      </c>
      <c r="J249" s="185" t="s">
        <v>2501</v>
      </c>
      <c r="K249" s="189"/>
    </row>
    <row r="250" spans="1:11" ht="15.75">
      <c r="A250" s="349">
        <v>45866</v>
      </c>
      <c r="B250" s="185" t="s">
        <v>2498</v>
      </c>
      <c r="C250" s="261" t="s">
        <v>199</v>
      </c>
      <c r="D250" s="261" t="s">
        <v>117</v>
      </c>
      <c r="E250" s="262"/>
      <c r="F250" s="262">
        <v>1000</v>
      </c>
      <c r="G250" s="264"/>
      <c r="H250" s="263">
        <f t="shared" si="8"/>
        <v>5180</v>
      </c>
      <c r="I250" s="261" t="s">
        <v>497</v>
      </c>
      <c r="J250" s="185" t="s">
        <v>2501</v>
      </c>
      <c r="K250" s="189"/>
    </row>
    <row r="251" spans="1:11" ht="15.75">
      <c r="A251" s="191"/>
      <c r="B251" s="189"/>
      <c r="C251" s="189"/>
      <c r="D251" s="189"/>
      <c r="E251" s="193">
        <f>SUM(E232:E250)</f>
        <v>75000</v>
      </c>
      <c r="F251" s="193">
        <f>SUM(F232:F250)</f>
        <v>77500</v>
      </c>
      <c r="G251" s="193"/>
      <c r="H251" s="194">
        <f>+E251-F251+H231</f>
        <v>5180</v>
      </c>
      <c r="I251" s="189"/>
      <c r="J251" s="189"/>
      <c r="K251" s="189"/>
    </row>
    <row r="252" spans="1:11" ht="15.75">
      <c r="A252" s="191"/>
      <c r="B252" s="189"/>
      <c r="C252" s="192" t="s">
        <v>521</v>
      </c>
      <c r="D252" s="189"/>
      <c r="E252" s="193"/>
      <c r="F252" s="193"/>
      <c r="G252" s="193"/>
      <c r="H252" s="194"/>
      <c r="I252" s="189"/>
      <c r="J252" s="189"/>
      <c r="K252" s="189"/>
    </row>
    <row r="253" spans="1:11" ht="15.75">
      <c r="A253" s="191"/>
      <c r="B253" s="189"/>
      <c r="C253" s="189"/>
      <c r="D253" s="189"/>
      <c r="E253" s="193"/>
      <c r="F253" s="193"/>
      <c r="G253" s="193"/>
      <c r="H253" s="194"/>
      <c r="I253" s="189"/>
      <c r="J253" s="189"/>
      <c r="K253" s="189"/>
    </row>
    <row r="254" spans="1:11" ht="15.75">
      <c r="A254" s="195" t="s">
        <v>0</v>
      </c>
      <c r="B254" s="196" t="s">
        <v>505</v>
      </c>
      <c r="C254" s="196" t="s">
        <v>506</v>
      </c>
      <c r="D254" s="196" t="s">
        <v>507</v>
      </c>
      <c r="E254" s="197" t="s">
        <v>508</v>
      </c>
      <c r="F254" s="197" t="s">
        <v>509</v>
      </c>
      <c r="G254" s="197"/>
      <c r="H254" s="198" t="s">
        <v>30</v>
      </c>
      <c r="I254" s="196" t="s">
        <v>510</v>
      </c>
      <c r="J254" s="196" t="s">
        <v>511</v>
      </c>
      <c r="K254" s="199"/>
    </row>
    <row r="255" spans="1:11" ht="15.75">
      <c r="A255" s="149">
        <v>45839</v>
      </c>
      <c r="B255" s="130" t="s">
        <v>2388</v>
      </c>
      <c r="C255" s="207"/>
      <c r="D255" s="185" t="s">
        <v>124</v>
      </c>
      <c r="E255" s="206"/>
      <c r="F255" s="206"/>
      <c r="G255" s="206"/>
      <c r="H255" s="169">
        <v>3050</v>
      </c>
      <c r="I255" s="190" t="s">
        <v>217</v>
      </c>
      <c r="J255" s="190"/>
      <c r="K255" s="189"/>
    </row>
    <row r="256" spans="1:11" ht="15.75">
      <c r="A256" s="228">
        <v>45848</v>
      </c>
      <c r="B256" s="76" t="s">
        <v>2532</v>
      </c>
      <c r="C256" s="227" t="s">
        <v>124</v>
      </c>
      <c r="D256" s="350" t="s">
        <v>120</v>
      </c>
      <c r="E256" s="226">
        <v>50000</v>
      </c>
      <c r="F256" s="351"/>
      <c r="G256" s="229"/>
      <c r="H256" s="169">
        <f t="shared" ref="H256:H274" si="9">+H255+E256-F256</f>
        <v>53050</v>
      </c>
      <c r="I256" s="353" t="s">
        <v>217</v>
      </c>
      <c r="J256" s="76" t="s">
        <v>2521</v>
      </c>
      <c r="K256" s="189"/>
    </row>
    <row r="257" spans="1:11" ht="15.75">
      <c r="A257" s="228">
        <v>45859</v>
      </c>
      <c r="B257" s="76" t="s">
        <v>2507</v>
      </c>
      <c r="C257" s="227" t="s">
        <v>124</v>
      </c>
      <c r="D257" s="350" t="s">
        <v>120</v>
      </c>
      <c r="E257" s="226"/>
      <c r="F257" s="351">
        <v>50000</v>
      </c>
      <c r="G257" s="229"/>
      <c r="H257" s="169">
        <f t="shared" si="9"/>
        <v>3050</v>
      </c>
      <c r="I257" s="353" t="s">
        <v>217</v>
      </c>
      <c r="J257" s="76" t="s">
        <v>2522</v>
      </c>
      <c r="K257" s="189"/>
    </row>
    <row r="258" spans="1:11" ht="15.75">
      <c r="A258" s="228">
        <v>45860</v>
      </c>
      <c r="B258" s="76" t="s">
        <v>2508</v>
      </c>
      <c r="C258" s="227" t="s">
        <v>175</v>
      </c>
      <c r="D258" s="350" t="s">
        <v>120</v>
      </c>
      <c r="E258" s="226"/>
      <c r="F258" s="351">
        <v>1000</v>
      </c>
      <c r="G258" s="226"/>
      <c r="H258" s="169">
        <f t="shared" si="9"/>
        <v>2050</v>
      </c>
      <c r="I258" s="353" t="s">
        <v>217</v>
      </c>
      <c r="J258" s="76" t="s">
        <v>2523</v>
      </c>
      <c r="K258" s="189"/>
    </row>
    <row r="259" spans="1:11" ht="15.75">
      <c r="A259" s="228">
        <v>45866</v>
      </c>
      <c r="B259" s="76" t="s">
        <v>2533</v>
      </c>
      <c r="C259" s="227" t="s">
        <v>124</v>
      </c>
      <c r="D259" s="350" t="s">
        <v>120</v>
      </c>
      <c r="E259" s="226">
        <v>10000</v>
      </c>
      <c r="F259" s="351"/>
      <c r="G259" s="226"/>
      <c r="H259" s="169">
        <f t="shared" si="9"/>
        <v>12050</v>
      </c>
      <c r="I259" s="353" t="s">
        <v>217</v>
      </c>
      <c r="J259" s="76" t="s">
        <v>2524</v>
      </c>
      <c r="K259" s="189"/>
    </row>
    <row r="260" spans="1:11" ht="15.75">
      <c r="A260" s="228">
        <v>45866</v>
      </c>
      <c r="B260" s="76" t="s">
        <v>2509</v>
      </c>
      <c r="C260" s="227" t="s">
        <v>175</v>
      </c>
      <c r="D260" s="350" t="s">
        <v>120</v>
      </c>
      <c r="E260" s="226"/>
      <c r="F260" s="351">
        <v>1000</v>
      </c>
      <c r="G260" s="226"/>
      <c r="H260" s="169">
        <f t="shared" si="9"/>
        <v>11050</v>
      </c>
      <c r="I260" s="353" t="s">
        <v>217</v>
      </c>
      <c r="J260" s="76" t="s">
        <v>2523</v>
      </c>
      <c r="K260" s="189"/>
    </row>
    <row r="261" spans="1:11" ht="15.75">
      <c r="A261" s="228">
        <v>45866</v>
      </c>
      <c r="B261" s="76" t="s">
        <v>2510</v>
      </c>
      <c r="C261" s="227" t="s">
        <v>175</v>
      </c>
      <c r="D261" s="350" t="s">
        <v>120</v>
      </c>
      <c r="E261" s="226"/>
      <c r="F261" s="351">
        <v>1000</v>
      </c>
      <c r="G261" s="226"/>
      <c r="H261" s="169">
        <f t="shared" si="9"/>
        <v>10050</v>
      </c>
      <c r="I261" s="353" t="s">
        <v>217</v>
      </c>
      <c r="J261" s="76" t="s">
        <v>2523</v>
      </c>
      <c r="K261" s="189"/>
    </row>
    <row r="262" spans="1:11" ht="15.75">
      <c r="A262" s="228">
        <v>45866</v>
      </c>
      <c r="B262" s="130" t="s">
        <v>2511</v>
      </c>
      <c r="C262" s="130" t="s">
        <v>2344</v>
      </c>
      <c r="D262" s="130" t="s">
        <v>120</v>
      </c>
      <c r="E262" s="222">
        <v>66000</v>
      </c>
      <c r="F262" s="351"/>
      <c r="G262" s="226"/>
      <c r="H262" s="169">
        <f t="shared" si="9"/>
        <v>76050</v>
      </c>
      <c r="I262" s="353" t="s">
        <v>217</v>
      </c>
      <c r="J262" s="132" t="s">
        <v>2525</v>
      </c>
      <c r="K262" s="189"/>
    </row>
    <row r="263" spans="1:11" ht="15.75">
      <c r="A263" s="228">
        <v>45866</v>
      </c>
      <c r="B263" s="130" t="s">
        <v>2512</v>
      </c>
      <c r="C263" s="130" t="s">
        <v>2344</v>
      </c>
      <c r="D263" s="130" t="s">
        <v>120</v>
      </c>
      <c r="E263" s="222">
        <v>30000</v>
      </c>
      <c r="F263" s="351"/>
      <c r="G263" s="226"/>
      <c r="H263" s="169">
        <f t="shared" si="9"/>
        <v>106050</v>
      </c>
      <c r="I263" s="353" t="s">
        <v>217</v>
      </c>
      <c r="J263" s="132" t="s">
        <v>2526</v>
      </c>
      <c r="K263" s="189"/>
    </row>
    <row r="264" spans="1:11" ht="15.75">
      <c r="A264" s="228">
        <v>45866</v>
      </c>
      <c r="B264" s="130" t="s">
        <v>2513</v>
      </c>
      <c r="C264" s="130" t="s">
        <v>2344</v>
      </c>
      <c r="D264" s="130" t="s">
        <v>120</v>
      </c>
      <c r="E264" s="222">
        <v>6000</v>
      </c>
      <c r="F264" s="351"/>
      <c r="G264" s="226"/>
      <c r="H264" s="169">
        <f t="shared" si="9"/>
        <v>112050</v>
      </c>
      <c r="I264" s="353" t="s">
        <v>217</v>
      </c>
      <c r="J264" s="132" t="s">
        <v>2527</v>
      </c>
      <c r="K264" s="189"/>
    </row>
    <row r="265" spans="1:11" ht="15.75">
      <c r="A265" s="228">
        <v>45866</v>
      </c>
      <c r="B265" s="130" t="s">
        <v>2511</v>
      </c>
      <c r="C265" s="130" t="s">
        <v>2344</v>
      </c>
      <c r="D265" s="130" t="s">
        <v>120</v>
      </c>
      <c r="E265" s="226"/>
      <c r="F265" s="352">
        <v>66000</v>
      </c>
      <c r="G265" s="226"/>
      <c r="H265" s="169">
        <f t="shared" si="9"/>
        <v>46050</v>
      </c>
      <c r="I265" s="353" t="s">
        <v>217</v>
      </c>
      <c r="J265" s="132" t="s">
        <v>2525</v>
      </c>
      <c r="K265" s="189"/>
    </row>
    <row r="266" spans="1:11" ht="15.75">
      <c r="A266" s="228">
        <v>45866</v>
      </c>
      <c r="B266" s="130" t="s">
        <v>2512</v>
      </c>
      <c r="C266" s="130" t="s">
        <v>2344</v>
      </c>
      <c r="D266" s="130" t="s">
        <v>120</v>
      </c>
      <c r="E266" s="226"/>
      <c r="F266" s="352">
        <v>30000</v>
      </c>
      <c r="G266" s="226"/>
      <c r="H266" s="169">
        <f t="shared" si="9"/>
        <v>16050</v>
      </c>
      <c r="I266" s="353" t="s">
        <v>217</v>
      </c>
      <c r="J266" s="132" t="s">
        <v>2526</v>
      </c>
      <c r="K266" s="189"/>
    </row>
    <row r="267" spans="1:11" ht="15.75">
      <c r="A267" s="228">
        <v>45866</v>
      </c>
      <c r="B267" s="130" t="s">
        <v>2513</v>
      </c>
      <c r="C267" s="130" t="s">
        <v>2344</v>
      </c>
      <c r="D267" s="130" t="s">
        <v>120</v>
      </c>
      <c r="E267" s="226"/>
      <c r="F267" s="352">
        <v>6000</v>
      </c>
      <c r="G267" s="226"/>
      <c r="H267" s="169">
        <f t="shared" si="9"/>
        <v>10050</v>
      </c>
      <c r="I267" s="353" t="s">
        <v>217</v>
      </c>
      <c r="J267" s="132" t="s">
        <v>2527</v>
      </c>
      <c r="K267" s="189"/>
    </row>
    <row r="268" spans="1:11" ht="15.75">
      <c r="A268" s="228">
        <v>45867</v>
      </c>
      <c r="B268" s="76" t="s">
        <v>2514</v>
      </c>
      <c r="C268" s="227" t="s">
        <v>175</v>
      </c>
      <c r="D268" s="350" t="s">
        <v>120</v>
      </c>
      <c r="E268" s="226"/>
      <c r="F268" s="351">
        <v>1000</v>
      </c>
      <c r="G268" s="226"/>
      <c r="H268" s="169">
        <f t="shared" si="9"/>
        <v>9050</v>
      </c>
      <c r="I268" s="353" t="s">
        <v>217</v>
      </c>
      <c r="J268" s="76" t="s">
        <v>2523</v>
      </c>
      <c r="K268" s="189"/>
    </row>
    <row r="269" spans="1:11" ht="15.75">
      <c r="A269" s="228">
        <v>45867</v>
      </c>
      <c r="B269" s="76" t="s">
        <v>2515</v>
      </c>
      <c r="C269" s="227" t="s">
        <v>175</v>
      </c>
      <c r="D269" s="350" t="s">
        <v>120</v>
      </c>
      <c r="E269" s="226"/>
      <c r="F269" s="351">
        <v>1000</v>
      </c>
      <c r="G269" s="222"/>
      <c r="H269" s="169">
        <f t="shared" si="9"/>
        <v>8050</v>
      </c>
      <c r="I269" s="353" t="s">
        <v>217</v>
      </c>
      <c r="J269" s="76" t="s">
        <v>2523</v>
      </c>
      <c r="K269" s="189"/>
    </row>
    <row r="270" spans="1:11" ht="15.75">
      <c r="A270" s="228">
        <v>45867</v>
      </c>
      <c r="B270" s="76" t="s">
        <v>2516</v>
      </c>
      <c r="C270" s="227" t="s">
        <v>175</v>
      </c>
      <c r="D270" s="350" t="s">
        <v>120</v>
      </c>
      <c r="E270" s="226"/>
      <c r="F270" s="351">
        <v>1000</v>
      </c>
      <c r="G270" s="222"/>
      <c r="H270" s="169">
        <f t="shared" si="9"/>
        <v>7050</v>
      </c>
      <c r="I270" s="353" t="s">
        <v>217</v>
      </c>
      <c r="J270" s="76" t="s">
        <v>2523</v>
      </c>
      <c r="K270" s="189"/>
    </row>
    <row r="271" spans="1:11" ht="15.75">
      <c r="A271" s="228">
        <v>45867</v>
      </c>
      <c r="B271" s="76" t="s">
        <v>2517</v>
      </c>
      <c r="C271" s="227" t="s">
        <v>175</v>
      </c>
      <c r="D271" s="350" t="s">
        <v>120</v>
      </c>
      <c r="E271" s="226"/>
      <c r="F271" s="351">
        <v>1000</v>
      </c>
      <c r="G271" s="226"/>
      <c r="H271" s="169">
        <f t="shared" si="9"/>
        <v>6050</v>
      </c>
      <c r="I271" s="353" t="s">
        <v>217</v>
      </c>
      <c r="J271" s="76" t="s">
        <v>2523</v>
      </c>
      <c r="K271" s="189"/>
    </row>
    <row r="272" spans="1:11" ht="15.75">
      <c r="A272" s="228">
        <v>45867</v>
      </c>
      <c r="B272" s="76" t="s">
        <v>2518</v>
      </c>
      <c r="C272" s="227" t="s">
        <v>175</v>
      </c>
      <c r="D272" s="350" t="s">
        <v>120</v>
      </c>
      <c r="E272" s="226"/>
      <c r="F272" s="351">
        <v>1000</v>
      </c>
      <c r="G272" s="226"/>
      <c r="H272" s="169">
        <f t="shared" si="9"/>
        <v>5050</v>
      </c>
      <c r="I272" s="353" t="s">
        <v>217</v>
      </c>
      <c r="J272" s="76" t="s">
        <v>2523</v>
      </c>
      <c r="K272" s="189"/>
    </row>
    <row r="273" spans="1:11" ht="15.75">
      <c r="A273" s="228">
        <v>45867</v>
      </c>
      <c r="B273" s="76" t="s">
        <v>2519</v>
      </c>
      <c r="C273" s="227" t="s">
        <v>175</v>
      </c>
      <c r="D273" s="350" t="s">
        <v>120</v>
      </c>
      <c r="E273" s="226"/>
      <c r="F273" s="351">
        <v>1000</v>
      </c>
      <c r="G273" s="226"/>
      <c r="H273" s="169">
        <f t="shared" si="9"/>
        <v>4050</v>
      </c>
      <c r="I273" s="353" t="s">
        <v>217</v>
      </c>
      <c r="J273" s="76" t="s">
        <v>2523</v>
      </c>
      <c r="K273" s="189"/>
    </row>
    <row r="274" spans="1:11" ht="15.75">
      <c r="A274" s="228">
        <v>45867</v>
      </c>
      <c r="B274" s="76" t="s">
        <v>2520</v>
      </c>
      <c r="C274" s="227" t="s">
        <v>175</v>
      </c>
      <c r="D274" s="350" t="s">
        <v>120</v>
      </c>
      <c r="E274" s="226"/>
      <c r="F274" s="351">
        <v>1000</v>
      </c>
      <c r="G274" s="226"/>
      <c r="H274" s="169">
        <f t="shared" si="9"/>
        <v>3050</v>
      </c>
      <c r="I274" s="353" t="s">
        <v>217</v>
      </c>
      <c r="J274" s="76" t="s">
        <v>2523</v>
      </c>
      <c r="K274" s="189"/>
    </row>
    <row r="275" spans="1:11" ht="15.75">
      <c r="A275" s="138"/>
      <c r="B275" s="139"/>
      <c r="C275" s="139"/>
      <c r="D275" s="139"/>
      <c r="E275" s="141">
        <f>SUM(E255:E274)</f>
        <v>162000</v>
      </c>
      <c r="F275" s="141">
        <f>SUM(F255:F274)</f>
        <v>162000</v>
      </c>
      <c r="G275" s="141"/>
      <c r="H275" s="142">
        <f>+E275+H255-F275</f>
        <v>3050</v>
      </c>
      <c r="I275" s="139"/>
      <c r="J275" s="139"/>
      <c r="K275" s="139"/>
    </row>
    <row r="276" spans="1:11" ht="15.75">
      <c r="A276" s="138"/>
      <c r="B276" s="139"/>
      <c r="C276" s="139"/>
      <c r="D276" s="139"/>
      <c r="E276" s="141"/>
      <c r="F276" s="141"/>
      <c r="G276" s="141"/>
      <c r="H276" s="142"/>
      <c r="I276" s="139"/>
      <c r="J276" s="139"/>
      <c r="K276" s="139"/>
    </row>
    <row r="278" spans="1:11" ht="15.75">
      <c r="A278" s="184"/>
      <c r="B278" s="501" t="s">
        <v>2068</v>
      </c>
      <c r="C278" s="501"/>
      <c r="D278" s="501"/>
      <c r="E278" s="501"/>
      <c r="F278" s="193"/>
      <c r="G278" s="193"/>
      <c r="H278" s="212"/>
      <c r="I278" s="189"/>
      <c r="J278" s="189"/>
    </row>
    <row r="279" spans="1:11" ht="15.75">
      <c r="A279" s="191"/>
      <c r="B279" s="189"/>
      <c r="C279" s="189"/>
      <c r="D279" s="189"/>
      <c r="E279" s="193"/>
      <c r="F279" s="193"/>
      <c r="G279" s="193"/>
      <c r="H279" s="194"/>
      <c r="I279" s="189"/>
      <c r="J279" s="189"/>
    </row>
    <row r="280" spans="1:11" ht="15.75">
      <c r="A280" s="195" t="s">
        <v>0</v>
      </c>
      <c r="B280" s="196" t="s">
        <v>505</v>
      </c>
      <c r="C280" s="196" t="s">
        <v>506</v>
      </c>
      <c r="D280" s="196" t="s">
        <v>507</v>
      </c>
      <c r="E280" s="197" t="s">
        <v>508</v>
      </c>
      <c r="F280" s="354" t="s">
        <v>509</v>
      </c>
      <c r="G280" s="356"/>
      <c r="H280" s="355" t="s">
        <v>30</v>
      </c>
      <c r="I280" s="196" t="s">
        <v>510</v>
      </c>
      <c r="J280" s="196" t="s">
        <v>511</v>
      </c>
    </row>
    <row r="281" spans="1:11" ht="15.75">
      <c r="A281" s="149">
        <v>45839</v>
      </c>
      <c r="B281" s="183" t="s">
        <v>2388</v>
      </c>
      <c r="C281" s="183"/>
      <c r="D281" s="183"/>
      <c r="E281" s="186"/>
      <c r="F281" s="186"/>
      <c r="G281" s="267"/>
      <c r="H281" s="182">
        <v>2047</v>
      </c>
      <c r="I281" s="183" t="s">
        <v>190</v>
      </c>
      <c r="J281" s="183"/>
    </row>
    <row r="282" spans="1:11" ht="15">
      <c r="A282" s="228">
        <v>45866</v>
      </c>
      <c r="B282" s="76" t="s">
        <v>2528</v>
      </c>
      <c r="C282" s="76" t="s">
        <v>175</v>
      </c>
      <c r="D282" s="76" t="s">
        <v>117</v>
      </c>
      <c r="E282" s="76"/>
      <c r="F282" s="76">
        <v>1000</v>
      </c>
      <c r="G282" s="76"/>
      <c r="H282" s="260">
        <f t="shared" ref="H282:H285" si="10">H281+E282-F282</f>
        <v>1047</v>
      </c>
      <c r="I282" s="76" t="s">
        <v>190</v>
      </c>
      <c r="J282" s="76" t="s">
        <v>2530</v>
      </c>
    </row>
    <row r="283" spans="1:11" ht="15">
      <c r="A283" s="228">
        <v>45866</v>
      </c>
      <c r="B283" s="76" t="s">
        <v>2529</v>
      </c>
      <c r="C283" s="76" t="s">
        <v>175</v>
      </c>
      <c r="D283" s="76" t="s">
        <v>117</v>
      </c>
      <c r="E283" s="76"/>
      <c r="F283" s="76">
        <v>1000</v>
      </c>
      <c r="G283" s="76"/>
      <c r="H283" s="260">
        <f t="shared" si="10"/>
        <v>47</v>
      </c>
      <c r="I283" s="76" t="s">
        <v>190</v>
      </c>
      <c r="J283" s="76" t="s">
        <v>2530</v>
      </c>
    </row>
    <row r="284" spans="1:11" ht="15.75">
      <c r="A284" s="228">
        <v>45869</v>
      </c>
      <c r="B284" s="265" t="s">
        <v>2651</v>
      </c>
      <c r="C284" s="76" t="s">
        <v>152</v>
      </c>
      <c r="D284" s="76" t="s">
        <v>117</v>
      </c>
      <c r="E284" s="76">
        <v>5000</v>
      </c>
      <c r="F284" s="76"/>
      <c r="G284" s="76"/>
      <c r="H284" s="260">
        <f t="shared" si="10"/>
        <v>5047</v>
      </c>
      <c r="I284" s="76" t="s">
        <v>190</v>
      </c>
      <c r="J284" s="76" t="s">
        <v>2531</v>
      </c>
    </row>
    <row r="285" spans="1:11" ht="15.75">
      <c r="A285" s="228">
        <v>45869</v>
      </c>
      <c r="B285" s="265" t="s">
        <v>2651</v>
      </c>
      <c r="C285" s="76" t="s">
        <v>152</v>
      </c>
      <c r="D285" s="76" t="s">
        <v>117</v>
      </c>
      <c r="E285" s="76"/>
      <c r="F285" s="76">
        <v>5000</v>
      </c>
      <c r="G285" s="76"/>
      <c r="H285" s="260">
        <f t="shared" si="10"/>
        <v>47</v>
      </c>
      <c r="I285" s="76" t="s">
        <v>190</v>
      </c>
      <c r="J285" s="76" t="s">
        <v>2531</v>
      </c>
    </row>
    <row r="286" spans="1:11">
      <c r="E286" s="71">
        <f>SUM(E281:E285)</f>
        <v>5000</v>
      </c>
      <c r="F286" s="71">
        <f>SUM(F281:F285)</f>
        <v>7000</v>
      </c>
      <c r="H286" s="71">
        <f>+E286-F286+H281</f>
        <v>47</v>
      </c>
    </row>
  </sheetData>
  <mergeCells count="3">
    <mergeCell ref="A92:D92"/>
    <mergeCell ref="B206:E206"/>
    <mergeCell ref="B278:E278"/>
  </mergeCells>
  <phoneticPr fontId="28" type="noConversion"/>
  <dataValidations count="1">
    <dataValidation type="list" allowBlank="1" showInputMessage="1" showErrorMessage="1" sqref="C233:C234 C201:C202 C227 C223:C224 C282:C285"/>
  </dataValidations>
  <pageMargins left="0.7" right="0.7" top="0.78740157499999996" bottom="0.78740157499999996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2"/>
  <sheetViews>
    <sheetView zoomScaleNormal="100" workbookViewId="0">
      <selection activeCell="I11" sqref="I11"/>
    </sheetView>
  </sheetViews>
  <sheetFormatPr baseColWidth="10" defaultColWidth="8.75" defaultRowHeight="14.25"/>
  <cols>
    <col min="1" max="1" width="5.75" customWidth="1"/>
    <col min="2" max="2" width="20.375" bestFit="1" customWidth="1"/>
    <col min="3" max="3" width="22.875" bestFit="1" customWidth="1"/>
    <col min="4" max="38" width="5.75" customWidth="1"/>
    <col min="39" max="63" width="6.75" customWidth="1"/>
    <col min="64" max="64" width="7.75" customWidth="1"/>
    <col min="65" max="65" width="5.375" customWidth="1"/>
    <col min="66" max="66" width="11.75" bestFit="1" customWidth="1"/>
  </cols>
  <sheetData>
    <row r="2" spans="2:3">
      <c r="B2" s="174" t="s">
        <v>522</v>
      </c>
      <c r="C2" t="s">
        <v>524</v>
      </c>
    </row>
    <row r="3" spans="2:3">
      <c r="B3" s="150" t="s">
        <v>193</v>
      </c>
      <c r="C3" s="360">
        <v>71250</v>
      </c>
    </row>
    <row r="4" spans="2:3">
      <c r="B4" s="150" t="s">
        <v>148</v>
      </c>
      <c r="C4" s="360">
        <v>9900525</v>
      </c>
    </row>
    <row r="5" spans="2:3">
      <c r="B5" s="150" t="s">
        <v>203</v>
      </c>
      <c r="C5" s="360">
        <v>11000</v>
      </c>
    </row>
    <row r="6" spans="2:3">
      <c r="B6" s="150" t="s">
        <v>497</v>
      </c>
      <c r="C6" s="360">
        <v>77500</v>
      </c>
    </row>
    <row r="7" spans="2:3">
      <c r="B7" s="150" t="s">
        <v>153</v>
      </c>
      <c r="C7" s="360">
        <v>254625</v>
      </c>
    </row>
    <row r="8" spans="2:3">
      <c r="B8" s="150" t="s">
        <v>217</v>
      </c>
      <c r="C8" s="360">
        <v>112000</v>
      </c>
    </row>
    <row r="9" spans="2:3">
      <c r="B9" s="150" t="s">
        <v>643</v>
      </c>
      <c r="C9" s="360">
        <v>645149</v>
      </c>
    </row>
    <row r="10" spans="2:3">
      <c r="B10" s="150" t="s">
        <v>196</v>
      </c>
      <c r="C10" s="360">
        <v>51250</v>
      </c>
    </row>
    <row r="11" spans="2:3">
      <c r="B11" s="150" t="s">
        <v>190</v>
      </c>
      <c r="C11" s="360">
        <v>7000</v>
      </c>
    </row>
    <row r="12" spans="2:3">
      <c r="B12" s="150" t="s">
        <v>523</v>
      </c>
      <c r="C12" s="360">
        <v>11130299</v>
      </c>
    </row>
  </sheetData>
  <pageMargins left="0.7" right="0.7" top="0.78740157499999996" bottom="0.78740157499999996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5"/>
  <sheetViews>
    <sheetView zoomScaleNormal="100" workbookViewId="0">
      <selection activeCell="G13" sqref="G13"/>
    </sheetView>
  </sheetViews>
  <sheetFormatPr baseColWidth="10" defaultColWidth="11.375" defaultRowHeight="14.25"/>
  <cols>
    <col min="2" max="2" width="20.375" bestFit="1" customWidth="1"/>
    <col min="3" max="3" width="16.625" bestFit="1" customWidth="1"/>
    <col min="4" max="4" width="19.25" bestFit="1" customWidth="1"/>
  </cols>
  <sheetData>
    <row r="2" spans="2:4">
      <c r="B2" s="174" t="s">
        <v>522</v>
      </c>
      <c r="C2" t="s">
        <v>525</v>
      </c>
      <c r="D2" t="s">
        <v>526</v>
      </c>
    </row>
    <row r="3" spans="2:4">
      <c r="B3" s="150" t="s">
        <v>193</v>
      </c>
      <c r="C3" s="360">
        <v>66250</v>
      </c>
      <c r="D3" s="360"/>
    </row>
    <row r="4" spans="2:4">
      <c r="B4" s="150" t="s">
        <v>148</v>
      </c>
      <c r="C4" s="360"/>
      <c r="D4" s="360">
        <v>950000</v>
      </c>
    </row>
    <row r="5" spans="2:4">
      <c r="B5" s="150" t="s">
        <v>200</v>
      </c>
      <c r="C5" s="360">
        <v>70000</v>
      </c>
      <c r="D5" s="360"/>
    </row>
    <row r="6" spans="2:4">
      <c r="B6" s="150" t="s">
        <v>153</v>
      </c>
      <c r="C6" s="360">
        <v>150000</v>
      </c>
      <c r="D6" s="360"/>
    </row>
    <row r="7" spans="2:4">
      <c r="B7" s="150" t="s">
        <v>217</v>
      </c>
      <c r="C7" s="360">
        <v>162000</v>
      </c>
      <c r="D7" s="360">
        <v>50000</v>
      </c>
    </row>
    <row r="8" spans="2:4">
      <c r="B8" s="150" t="s">
        <v>343</v>
      </c>
      <c r="C8" s="360"/>
      <c r="D8" s="360">
        <v>14050</v>
      </c>
    </row>
    <row r="9" spans="2:4">
      <c r="B9" s="150" t="s">
        <v>187</v>
      </c>
      <c r="C9" s="360"/>
      <c r="D9" s="360">
        <v>100000</v>
      </c>
    </row>
    <row r="10" spans="2:4">
      <c r="B10" s="150" t="s">
        <v>643</v>
      </c>
      <c r="C10" s="360">
        <v>626149</v>
      </c>
      <c r="D10" s="360"/>
    </row>
    <row r="11" spans="2:4">
      <c r="B11" s="150" t="s">
        <v>2146</v>
      </c>
      <c r="C11" s="360">
        <v>45000</v>
      </c>
      <c r="D11" s="360"/>
    </row>
    <row r="12" spans="2:4">
      <c r="B12" s="150" t="s">
        <v>196</v>
      </c>
      <c r="C12" s="360">
        <v>58250</v>
      </c>
      <c r="D12" s="360"/>
    </row>
    <row r="13" spans="2:4">
      <c r="B13" s="150" t="s">
        <v>176</v>
      </c>
      <c r="C13" s="360"/>
      <c r="D13" s="360">
        <v>50000</v>
      </c>
    </row>
    <row r="14" spans="2:4">
      <c r="B14" s="150" t="s">
        <v>2141</v>
      </c>
      <c r="C14" s="360"/>
      <c r="D14" s="360"/>
    </row>
    <row r="15" spans="2:4">
      <c r="B15" s="150" t="s">
        <v>523</v>
      </c>
      <c r="C15" s="360">
        <v>1177649</v>
      </c>
      <c r="D15" s="360">
        <v>1164050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10"/>
  <sheetViews>
    <sheetView topLeftCell="C1" workbookViewId="0">
      <selection activeCell="J16" sqref="J16"/>
    </sheetView>
  </sheetViews>
  <sheetFormatPr baseColWidth="10" defaultColWidth="8.75" defaultRowHeight="14.25"/>
  <cols>
    <col min="1" max="1" width="13.125" bestFit="1" customWidth="1"/>
    <col min="2" max="2" width="22.875" bestFit="1" customWidth="1"/>
    <col min="3" max="3" width="23.25" bestFit="1" customWidth="1"/>
    <col min="4" max="4" width="20.75" bestFit="1" customWidth="1"/>
    <col min="5" max="5" width="5.75" bestFit="1" customWidth="1"/>
    <col min="6" max="6" width="7.75" bestFit="1" customWidth="1"/>
    <col min="7" max="7" width="12.25" bestFit="1" customWidth="1"/>
    <col min="8" max="8" width="14.625" bestFit="1" customWidth="1"/>
    <col min="9" max="9" width="9.75" bestFit="1" customWidth="1"/>
    <col min="10" max="10" width="13.875" bestFit="1" customWidth="1"/>
    <col min="11" max="11" width="14.25" bestFit="1" customWidth="1"/>
    <col min="12" max="12" width="8.625" bestFit="1" customWidth="1"/>
    <col min="13" max="13" width="10.25" bestFit="1" customWidth="1"/>
    <col min="14" max="14" width="13.125" bestFit="1" customWidth="1"/>
    <col min="15" max="15" width="9.25" bestFit="1" customWidth="1"/>
    <col min="16" max="16" width="9.75" bestFit="1" customWidth="1"/>
    <col min="17" max="17" width="15.625" bestFit="1" customWidth="1"/>
    <col min="18" max="18" width="17.75" bestFit="1" customWidth="1"/>
    <col min="19" max="19" width="6.875" bestFit="1" customWidth="1"/>
    <col min="20" max="20" width="12.125" bestFit="1" customWidth="1"/>
  </cols>
  <sheetData>
    <row r="2" spans="2:20">
      <c r="B2" s="174" t="s">
        <v>524</v>
      </c>
      <c r="C2" s="174" t="s">
        <v>2143</v>
      </c>
    </row>
    <row r="3" spans="2:20">
      <c r="B3" s="174" t="s">
        <v>522</v>
      </c>
      <c r="C3" t="s">
        <v>128</v>
      </c>
      <c r="D3" t="s">
        <v>2344</v>
      </c>
      <c r="E3" t="s">
        <v>125</v>
      </c>
      <c r="F3" t="s">
        <v>686</v>
      </c>
      <c r="G3" t="s">
        <v>123</v>
      </c>
      <c r="H3" t="s">
        <v>172</v>
      </c>
      <c r="I3" t="s">
        <v>127</v>
      </c>
      <c r="J3" t="s">
        <v>126</v>
      </c>
      <c r="K3" t="s">
        <v>2196</v>
      </c>
      <c r="L3" t="s">
        <v>317</v>
      </c>
      <c r="M3" t="s">
        <v>152</v>
      </c>
      <c r="N3" t="s">
        <v>184</v>
      </c>
      <c r="O3" t="s">
        <v>175</v>
      </c>
      <c r="P3" t="s">
        <v>199</v>
      </c>
      <c r="Q3" t="s">
        <v>1737</v>
      </c>
      <c r="R3" t="s">
        <v>179</v>
      </c>
      <c r="S3" t="s">
        <v>2141</v>
      </c>
      <c r="T3" t="s">
        <v>523</v>
      </c>
    </row>
    <row r="4" spans="2:20">
      <c r="B4" s="150" t="s">
        <v>121</v>
      </c>
      <c r="C4" s="360"/>
      <c r="D4" s="360"/>
      <c r="E4" s="360"/>
      <c r="F4" s="360"/>
      <c r="G4" s="360"/>
      <c r="H4" s="360"/>
      <c r="I4" s="360">
        <v>1535000</v>
      </c>
      <c r="J4" s="360"/>
      <c r="K4" s="360"/>
      <c r="L4" s="360"/>
      <c r="M4" s="360"/>
      <c r="N4" s="360"/>
      <c r="O4" s="360"/>
      <c r="P4" s="360"/>
      <c r="Q4" s="360">
        <v>-60000</v>
      </c>
      <c r="R4" s="360"/>
      <c r="S4" s="360">
        <v>225000</v>
      </c>
      <c r="T4" s="360">
        <v>1700000</v>
      </c>
    </row>
    <row r="5" spans="2:20">
      <c r="B5" s="150" t="s">
        <v>117</v>
      </c>
      <c r="C5" s="360"/>
      <c r="D5" s="360"/>
      <c r="E5" s="360"/>
      <c r="F5" s="360"/>
      <c r="G5" s="360">
        <v>1015000</v>
      </c>
      <c r="H5" s="360"/>
      <c r="I5" s="360">
        <v>3932152</v>
      </c>
      <c r="J5" s="360"/>
      <c r="K5" s="360"/>
      <c r="L5" s="360"/>
      <c r="M5" s="360">
        <v>20000</v>
      </c>
      <c r="N5" s="360"/>
      <c r="O5" s="360">
        <v>36000</v>
      </c>
      <c r="P5" s="360">
        <v>22500</v>
      </c>
      <c r="Q5" s="360"/>
      <c r="R5" s="360">
        <v>50000</v>
      </c>
      <c r="S5" s="360"/>
      <c r="T5" s="360">
        <v>5075652</v>
      </c>
    </row>
    <row r="6" spans="2:20">
      <c r="B6" s="150" t="s">
        <v>119</v>
      </c>
      <c r="C6" s="360"/>
      <c r="D6" s="360"/>
      <c r="E6" s="360"/>
      <c r="F6" s="360"/>
      <c r="G6" s="360"/>
      <c r="H6" s="360"/>
      <c r="I6" s="360">
        <v>1485625</v>
      </c>
      <c r="J6" s="360"/>
      <c r="K6" s="360"/>
      <c r="L6" s="360"/>
      <c r="M6" s="360">
        <v>25000</v>
      </c>
      <c r="N6" s="360"/>
      <c r="O6" s="360">
        <v>60000</v>
      </c>
      <c r="P6" s="360"/>
      <c r="Q6" s="360"/>
      <c r="R6" s="360"/>
      <c r="S6" s="360"/>
      <c r="T6" s="360">
        <v>1570625</v>
      </c>
    </row>
    <row r="7" spans="2:20">
      <c r="B7" s="150" t="s">
        <v>120</v>
      </c>
      <c r="C7" s="360"/>
      <c r="D7" s="360">
        <v>102000</v>
      </c>
      <c r="E7" s="360"/>
      <c r="F7" s="360"/>
      <c r="G7" s="360"/>
      <c r="H7" s="360"/>
      <c r="I7" s="360">
        <v>631610</v>
      </c>
      <c r="J7" s="360"/>
      <c r="K7" s="360"/>
      <c r="L7" s="360"/>
      <c r="M7" s="360"/>
      <c r="N7" s="360"/>
      <c r="O7" s="360">
        <v>10000</v>
      </c>
      <c r="P7" s="360"/>
      <c r="Q7" s="360"/>
      <c r="R7" s="360"/>
      <c r="S7" s="360"/>
      <c r="T7" s="360">
        <v>743610</v>
      </c>
    </row>
    <row r="8" spans="2:20">
      <c r="B8" s="150" t="s">
        <v>118</v>
      </c>
      <c r="C8" s="360">
        <v>21330</v>
      </c>
      <c r="D8" s="360"/>
      <c r="E8" s="360"/>
      <c r="F8" s="360">
        <v>45050</v>
      </c>
      <c r="G8" s="360"/>
      <c r="H8" s="360">
        <v>402000</v>
      </c>
      <c r="I8" s="360">
        <v>584433</v>
      </c>
      <c r="J8" s="360">
        <v>571274</v>
      </c>
      <c r="K8" s="360">
        <v>6000</v>
      </c>
      <c r="L8" s="360">
        <v>375625</v>
      </c>
      <c r="M8" s="360"/>
      <c r="N8" s="360">
        <v>700</v>
      </c>
      <c r="O8" s="360">
        <v>34000</v>
      </c>
      <c r="P8" s="360"/>
      <c r="Q8" s="360"/>
      <c r="R8" s="360"/>
      <c r="S8" s="360"/>
      <c r="T8" s="360">
        <v>2040412</v>
      </c>
    </row>
    <row r="9" spans="2:20">
      <c r="B9" s="150" t="s">
        <v>2141</v>
      </c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360"/>
      <c r="P9" s="360"/>
      <c r="Q9" s="360"/>
      <c r="R9" s="360"/>
      <c r="S9" s="360"/>
      <c r="T9" s="360"/>
    </row>
    <row r="10" spans="2:20">
      <c r="B10" s="150" t="s">
        <v>523</v>
      </c>
      <c r="C10" s="360">
        <v>21330</v>
      </c>
      <c r="D10" s="360">
        <v>102000</v>
      </c>
      <c r="E10" s="360"/>
      <c r="F10" s="360">
        <v>45050</v>
      </c>
      <c r="G10" s="360">
        <v>1015000</v>
      </c>
      <c r="H10" s="360">
        <v>402000</v>
      </c>
      <c r="I10" s="360">
        <v>8168820</v>
      </c>
      <c r="J10" s="360">
        <v>571274</v>
      </c>
      <c r="K10" s="360">
        <v>6000</v>
      </c>
      <c r="L10" s="360">
        <v>375625</v>
      </c>
      <c r="M10" s="360">
        <v>45000</v>
      </c>
      <c r="N10" s="360">
        <v>700</v>
      </c>
      <c r="O10" s="360">
        <v>140000</v>
      </c>
      <c r="P10" s="360">
        <v>22500</v>
      </c>
      <c r="Q10" s="360">
        <v>-60000</v>
      </c>
      <c r="R10" s="360">
        <v>50000</v>
      </c>
      <c r="S10" s="360">
        <v>225000</v>
      </c>
      <c r="T10" s="360">
        <v>11130299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workbookViewId="0">
      <selection activeCell="D8" sqref="D8"/>
    </sheetView>
  </sheetViews>
  <sheetFormatPr baseColWidth="10" defaultColWidth="8.75" defaultRowHeight="14.25"/>
  <cols>
    <col min="1" max="2" width="16.125" style="69" customWidth="1"/>
    <col min="3" max="3" width="68.625" customWidth="1"/>
    <col min="4" max="4" width="15.75" customWidth="1"/>
    <col min="5" max="5" width="17.125" customWidth="1"/>
    <col min="6" max="8" width="17.125" style="71" customWidth="1"/>
    <col min="9" max="9" width="7.125" customWidth="1"/>
    <col min="10" max="10" width="17.125" customWidth="1"/>
    <col min="11" max="11" width="20.75" customWidth="1"/>
  </cols>
  <sheetData>
    <row r="1" spans="1:11" ht="15">
      <c r="A1" s="73" t="s">
        <v>0</v>
      </c>
      <c r="B1" s="73"/>
      <c r="C1" s="74" t="s">
        <v>1</v>
      </c>
      <c r="D1" s="74" t="s">
        <v>122</v>
      </c>
      <c r="E1" s="74" t="s">
        <v>3</v>
      </c>
      <c r="F1" s="86" t="s">
        <v>29</v>
      </c>
      <c r="G1" s="87" t="s">
        <v>12</v>
      </c>
      <c r="H1" s="87" t="s">
        <v>30</v>
      </c>
      <c r="I1" s="75" t="s">
        <v>10</v>
      </c>
      <c r="J1" s="75" t="s">
        <v>6</v>
      </c>
      <c r="K1" s="99" t="s">
        <v>72</v>
      </c>
    </row>
    <row r="2" spans="1:11" ht="15.75">
      <c r="A2" s="361">
        <v>45839</v>
      </c>
      <c r="B2" s="361"/>
      <c r="C2" s="232" t="s">
        <v>2611</v>
      </c>
      <c r="D2" s="120"/>
      <c r="E2" s="120"/>
      <c r="F2" s="123"/>
      <c r="G2" s="122"/>
      <c r="H2" s="376">
        <v>1636236</v>
      </c>
      <c r="I2" s="76" t="s">
        <v>148</v>
      </c>
      <c r="J2" s="76"/>
      <c r="K2" s="76"/>
    </row>
    <row r="3" spans="1:11" ht="15">
      <c r="A3" s="361">
        <v>45841</v>
      </c>
      <c r="B3" s="361"/>
      <c r="C3" s="165" t="s">
        <v>2539</v>
      </c>
      <c r="D3" s="165" t="s">
        <v>123</v>
      </c>
      <c r="E3" s="165" t="s">
        <v>117</v>
      </c>
      <c r="F3" s="123">
        <v>300000</v>
      </c>
      <c r="G3" s="123"/>
      <c r="H3" s="95">
        <f t="shared" ref="H3:H42" si="0">H2-F3+G3</f>
        <v>1336236</v>
      </c>
      <c r="I3" s="76" t="s">
        <v>148</v>
      </c>
      <c r="J3" s="76" t="s">
        <v>2540</v>
      </c>
      <c r="K3" s="76"/>
    </row>
    <row r="4" spans="1:11" ht="15">
      <c r="A4" s="361">
        <v>45841</v>
      </c>
      <c r="B4" s="361"/>
      <c r="C4" s="119" t="s">
        <v>2541</v>
      </c>
      <c r="D4" s="171" t="s">
        <v>123</v>
      </c>
      <c r="E4" s="171" t="s">
        <v>117</v>
      </c>
      <c r="F4" s="123">
        <v>300000</v>
      </c>
      <c r="G4" s="123"/>
      <c r="H4" s="95">
        <f t="shared" si="0"/>
        <v>1036236</v>
      </c>
      <c r="I4" s="76" t="s">
        <v>148</v>
      </c>
      <c r="J4" s="76" t="s">
        <v>2542</v>
      </c>
      <c r="K4" s="76"/>
    </row>
    <row r="5" spans="1:11" ht="15">
      <c r="A5" s="361">
        <v>45841</v>
      </c>
      <c r="B5" s="361"/>
      <c r="C5" s="118" t="s">
        <v>2672</v>
      </c>
      <c r="D5" s="118" t="s">
        <v>317</v>
      </c>
      <c r="E5" s="127" t="s">
        <v>118</v>
      </c>
      <c r="F5" s="123">
        <v>260000</v>
      </c>
      <c r="G5" s="122"/>
      <c r="H5" s="95">
        <f t="shared" si="0"/>
        <v>776236</v>
      </c>
      <c r="I5" s="76" t="s">
        <v>148</v>
      </c>
      <c r="J5" s="76" t="s">
        <v>2544</v>
      </c>
      <c r="K5" s="76"/>
    </row>
    <row r="6" spans="1:11" ht="15">
      <c r="A6" s="361">
        <v>45846</v>
      </c>
      <c r="B6" s="361"/>
      <c r="C6" s="170" t="s">
        <v>2673</v>
      </c>
      <c r="D6" s="118" t="s">
        <v>126</v>
      </c>
      <c r="E6" s="127" t="s">
        <v>118</v>
      </c>
      <c r="F6" s="123">
        <v>500000</v>
      </c>
      <c r="G6" s="362"/>
      <c r="H6" s="95">
        <f t="shared" si="0"/>
        <v>276236</v>
      </c>
      <c r="I6" s="76" t="s">
        <v>148</v>
      </c>
      <c r="J6" s="76" t="s">
        <v>2545</v>
      </c>
      <c r="K6" s="76"/>
    </row>
    <row r="7" spans="1:11" ht="15">
      <c r="A7" s="363">
        <v>45849</v>
      </c>
      <c r="B7" s="363"/>
      <c r="C7" s="364" t="s">
        <v>2546</v>
      </c>
      <c r="D7" s="365" t="s">
        <v>123</v>
      </c>
      <c r="E7" s="366" t="s">
        <v>117</v>
      </c>
      <c r="F7" s="367">
        <v>150000</v>
      </c>
      <c r="G7" s="368"/>
      <c r="H7" s="369">
        <f t="shared" si="0"/>
        <v>126236</v>
      </c>
      <c r="I7" s="370" t="s">
        <v>148</v>
      </c>
      <c r="J7" s="370"/>
      <c r="K7" s="76"/>
    </row>
    <row r="8" spans="1:11" ht="15">
      <c r="A8" s="361">
        <v>45849</v>
      </c>
      <c r="B8" s="361"/>
      <c r="C8" s="121" t="s">
        <v>2547</v>
      </c>
      <c r="D8" s="118" t="s">
        <v>125</v>
      </c>
      <c r="E8" s="127"/>
      <c r="F8" s="124"/>
      <c r="G8" s="122">
        <v>5342381</v>
      </c>
      <c r="H8" s="95">
        <f t="shared" si="0"/>
        <v>5468617</v>
      </c>
      <c r="I8" s="76" t="s">
        <v>148</v>
      </c>
      <c r="J8" s="76" t="s">
        <v>2548</v>
      </c>
      <c r="K8" s="76"/>
    </row>
    <row r="9" spans="1:11" ht="15">
      <c r="A9" s="361">
        <v>45849</v>
      </c>
      <c r="B9" s="361"/>
      <c r="C9" s="121" t="s">
        <v>2668</v>
      </c>
      <c r="D9" s="118" t="s">
        <v>127</v>
      </c>
      <c r="E9" s="118" t="s">
        <v>121</v>
      </c>
      <c r="F9" s="123">
        <v>400000</v>
      </c>
      <c r="G9" s="122"/>
      <c r="H9" s="95">
        <f t="shared" si="0"/>
        <v>5068617</v>
      </c>
      <c r="I9" s="76" t="s">
        <v>148</v>
      </c>
      <c r="J9" s="76" t="s">
        <v>2550</v>
      </c>
      <c r="K9" s="76"/>
    </row>
    <row r="10" spans="1:11" ht="15">
      <c r="A10" s="361">
        <v>45849</v>
      </c>
      <c r="B10" s="361"/>
      <c r="C10" s="121" t="s">
        <v>2669</v>
      </c>
      <c r="D10" s="118" t="s">
        <v>127</v>
      </c>
      <c r="E10" s="118" t="s">
        <v>121</v>
      </c>
      <c r="F10" s="123">
        <v>255000</v>
      </c>
      <c r="G10" s="122"/>
      <c r="H10" s="95">
        <f t="shared" si="0"/>
        <v>4813617</v>
      </c>
      <c r="I10" s="76" t="s">
        <v>148</v>
      </c>
      <c r="J10" s="76" t="s">
        <v>2552</v>
      </c>
      <c r="K10" s="76"/>
    </row>
    <row r="11" spans="1:11" ht="15">
      <c r="A11" s="361">
        <v>45849</v>
      </c>
      <c r="B11" s="361"/>
      <c r="C11" s="121" t="s">
        <v>2670</v>
      </c>
      <c r="D11" s="129" t="s">
        <v>127</v>
      </c>
      <c r="E11" s="128" t="s">
        <v>121</v>
      </c>
      <c r="F11" s="123">
        <v>255000</v>
      </c>
      <c r="G11" s="122"/>
      <c r="H11" s="95">
        <f t="shared" si="0"/>
        <v>4558617</v>
      </c>
      <c r="I11" s="76" t="s">
        <v>148</v>
      </c>
      <c r="J11" s="76" t="s">
        <v>2554</v>
      </c>
      <c r="K11" s="76"/>
    </row>
    <row r="12" spans="1:11" ht="15">
      <c r="A12" s="361">
        <v>45849</v>
      </c>
      <c r="B12" s="361"/>
      <c r="C12" s="121" t="s">
        <v>2671</v>
      </c>
      <c r="D12" s="118" t="s">
        <v>127</v>
      </c>
      <c r="E12" s="118" t="s">
        <v>121</v>
      </c>
      <c r="F12" s="123">
        <v>255000</v>
      </c>
      <c r="G12" s="122"/>
      <c r="H12" s="95">
        <f t="shared" si="0"/>
        <v>4303617</v>
      </c>
      <c r="I12" s="76" t="s">
        <v>148</v>
      </c>
      <c r="J12" s="76" t="s">
        <v>2556</v>
      </c>
      <c r="K12" s="76"/>
    </row>
    <row r="13" spans="1:11" ht="15">
      <c r="A13" s="361">
        <v>45849</v>
      </c>
      <c r="B13" s="361"/>
      <c r="C13" s="121" t="s">
        <v>2678</v>
      </c>
      <c r="D13" s="118" t="s">
        <v>127</v>
      </c>
      <c r="E13" s="118" t="s">
        <v>118</v>
      </c>
      <c r="F13" s="123">
        <v>230000</v>
      </c>
      <c r="G13" s="122"/>
      <c r="H13" s="95">
        <f t="shared" si="0"/>
        <v>4073617</v>
      </c>
      <c r="I13" s="76" t="s">
        <v>148</v>
      </c>
      <c r="J13" s="76" t="s">
        <v>2557</v>
      </c>
      <c r="K13" s="76"/>
    </row>
    <row r="14" spans="1:11" ht="15">
      <c r="A14" s="361">
        <v>45849</v>
      </c>
      <c r="B14" s="361"/>
      <c r="C14" s="121" t="s">
        <v>2677</v>
      </c>
      <c r="D14" s="129" t="s">
        <v>127</v>
      </c>
      <c r="E14" s="128" t="s">
        <v>117</v>
      </c>
      <c r="F14" s="123">
        <v>200000</v>
      </c>
      <c r="G14" s="122"/>
      <c r="H14" s="95">
        <f t="shared" si="0"/>
        <v>3873617</v>
      </c>
      <c r="I14" s="76" t="s">
        <v>148</v>
      </c>
      <c r="J14" s="76" t="s">
        <v>2558</v>
      </c>
      <c r="K14" s="76"/>
    </row>
    <row r="15" spans="1:11" ht="15">
      <c r="A15" s="361">
        <v>45849</v>
      </c>
      <c r="B15" s="361"/>
      <c r="C15" s="121" t="s">
        <v>2559</v>
      </c>
      <c r="D15" s="127" t="s">
        <v>127</v>
      </c>
      <c r="E15" s="128" t="s">
        <v>117</v>
      </c>
      <c r="F15" s="123">
        <v>551482</v>
      </c>
      <c r="G15" s="122"/>
      <c r="H15" s="95">
        <f t="shared" si="0"/>
        <v>3322135</v>
      </c>
      <c r="I15" s="76" t="s">
        <v>148</v>
      </c>
      <c r="J15" s="76" t="s">
        <v>2560</v>
      </c>
    </row>
    <row r="16" spans="1:11" ht="15">
      <c r="A16" s="361">
        <v>45849</v>
      </c>
      <c r="B16" s="361"/>
      <c r="C16" s="170" t="s">
        <v>2561</v>
      </c>
      <c r="D16" s="165" t="s">
        <v>127</v>
      </c>
      <c r="E16" s="127" t="s">
        <v>117</v>
      </c>
      <c r="F16" s="123">
        <v>300000</v>
      </c>
      <c r="G16" s="122"/>
      <c r="H16" s="95">
        <f t="shared" si="0"/>
        <v>3022135</v>
      </c>
      <c r="I16" s="76" t="s">
        <v>148</v>
      </c>
      <c r="J16" s="76" t="s">
        <v>2562</v>
      </c>
    </row>
    <row r="17" spans="1:10" ht="15">
      <c r="A17" s="361">
        <v>45849</v>
      </c>
      <c r="B17" s="361"/>
      <c r="C17" s="170" t="s">
        <v>2563</v>
      </c>
      <c r="D17" s="165" t="s">
        <v>127</v>
      </c>
      <c r="E17" s="127" t="s">
        <v>120</v>
      </c>
      <c r="F17" s="123">
        <v>238140</v>
      </c>
      <c r="G17" s="122"/>
      <c r="H17" s="95">
        <f t="shared" si="0"/>
        <v>2783995</v>
      </c>
      <c r="I17" s="76" t="s">
        <v>148</v>
      </c>
      <c r="J17" s="76" t="s">
        <v>2564</v>
      </c>
    </row>
    <row r="18" spans="1:10" ht="15">
      <c r="A18" s="361">
        <v>45849</v>
      </c>
      <c r="B18" s="361"/>
      <c r="C18" s="170" t="s">
        <v>2679</v>
      </c>
      <c r="D18" s="172" t="s">
        <v>127</v>
      </c>
      <c r="E18" s="128" t="s">
        <v>119</v>
      </c>
      <c r="F18" s="123">
        <v>786600</v>
      </c>
      <c r="G18" s="122"/>
      <c r="H18" s="95">
        <f t="shared" si="0"/>
        <v>1997395</v>
      </c>
      <c r="I18" s="76" t="s">
        <v>148</v>
      </c>
      <c r="J18" s="76" t="s">
        <v>2565</v>
      </c>
    </row>
    <row r="19" spans="1:10" ht="15">
      <c r="A19" s="361">
        <v>45849</v>
      </c>
      <c r="B19" s="361"/>
      <c r="C19" s="170" t="s">
        <v>2680</v>
      </c>
      <c r="D19" s="172" t="s">
        <v>127</v>
      </c>
      <c r="E19" s="128" t="s">
        <v>119</v>
      </c>
      <c r="F19" s="123">
        <v>524400</v>
      </c>
      <c r="G19" s="122"/>
      <c r="H19" s="95">
        <f t="shared" si="0"/>
        <v>1472995</v>
      </c>
      <c r="I19" s="76" t="s">
        <v>148</v>
      </c>
      <c r="J19" s="76" t="s">
        <v>2566</v>
      </c>
    </row>
    <row r="20" spans="1:10" ht="15">
      <c r="A20" s="361">
        <v>45849</v>
      </c>
      <c r="B20" s="361"/>
      <c r="C20" s="121" t="s">
        <v>2603</v>
      </c>
      <c r="D20" s="129"/>
      <c r="E20" s="128"/>
      <c r="F20" s="123">
        <v>10665</v>
      </c>
      <c r="G20" s="122"/>
      <c r="H20" s="95">
        <f t="shared" si="0"/>
        <v>1462330</v>
      </c>
      <c r="I20" s="76" t="s">
        <v>148</v>
      </c>
      <c r="J20" s="76" t="s">
        <v>2568</v>
      </c>
    </row>
    <row r="21" spans="1:10" ht="15">
      <c r="A21" s="361">
        <v>45852</v>
      </c>
      <c r="B21" s="361"/>
      <c r="C21" s="496" t="s">
        <v>2674</v>
      </c>
      <c r="D21" s="118" t="s">
        <v>127</v>
      </c>
      <c r="E21" s="371" t="s">
        <v>117</v>
      </c>
      <c r="F21" s="123">
        <v>200000</v>
      </c>
      <c r="G21" s="122"/>
      <c r="H21" s="95">
        <f t="shared" si="0"/>
        <v>1262330</v>
      </c>
      <c r="I21" s="76" t="s">
        <v>148</v>
      </c>
      <c r="J21" s="76" t="s">
        <v>2569</v>
      </c>
    </row>
    <row r="22" spans="1:10" ht="15.75">
      <c r="A22" s="361">
        <v>45853</v>
      </c>
      <c r="B22" s="361"/>
      <c r="C22" s="232" t="s">
        <v>2570</v>
      </c>
      <c r="D22" s="232" t="s">
        <v>127</v>
      </c>
      <c r="E22" s="232" t="s">
        <v>117</v>
      </c>
      <c r="F22" s="123">
        <v>368700</v>
      </c>
      <c r="G22" s="122"/>
      <c r="H22" s="95">
        <f t="shared" si="0"/>
        <v>893630</v>
      </c>
      <c r="I22" s="76" t="s">
        <v>148</v>
      </c>
      <c r="J22" s="76" t="s">
        <v>2571</v>
      </c>
    </row>
    <row r="23" spans="1:10" ht="15.75">
      <c r="A23" s="361">
        <v>45853</v>
      </c>
      <c r="B23" s="361"/>
      <c r="C23" s="232" t="s">
        <v>2572</v>
      </c>
      <c r="D23" s="232" t="s">
        <v>127</v>
      </c>
      <c r="E23" s="232" t="s">
        <v>117</v>
      </c>
      <c r="F23" s="123">
        <v>177789</v>
      </c>
      <c r="G23" s="122"/>
      <c r="H23" s="95">
        <f t="shared" si="0"/>
        <v>715841</v>
      </c>
      <c r="I23" s="76" t="s">
        <v>148</v>
      </c>
      <c r="J23" s="76" t="s">
        <v>2573</v>
      </c>
    </row>
    <row r="24" spans="1:10" ht="15.75">
      <c r="A24" s="361">
        <v>45853</v>
      </c>
      <c r="B24" s="361"/>
      <c r="C24" s="232" t="s">
        <v>2574</v>
      </c>
      <c r="D24" s="232" t="s">
        <v>127</v>
      </c>
      <c r="E24" s="232" t="s">
        <v>117</v>
      </c>
      <c r="F24" s="123">
        <v>118814</v>
      </c>
      <c r="G24" s="122"/>
      <c r="H24" s="95">
        <f t="shared" si="0"/>
        <v>597027</v>
      </c>
      <c r="I24" s="76" t="s">
        <v>148</v>
      </c>
      <c r="J24" s="76" t="s">
        <v>2575</v>
      </c>
    </row>
    <row r="25" spans="1:10" ht="15.75">
      <c r="A25" s="361">
        <v>45853</v>
      </c>
      <c r="B25" s="361"/>
      <c r="C25" s="232" t="s">
        <v>2576</v>
      </c>
      <c r="D25" s="232" t="s">
        <v>127</v>
      </c>
      <c r="E25" s="232" t="s">
        <v>117</v>
      </c>
      <c r="F25" s="123">
        <v>103494</v>
      </c>
      <c r="G25" s="122"/>
      <c r="H25" s="95">
        <f t="shared" si="0"/>
        <v>493533</v>
      </c>
      <c r="I25" s="76" t="s">
        <v>148</v>
      </c>
      <c r="J25" s="76" t="s">
        <v>2577</v>
      </c>
    </row>
    <row r="26" spans="1:10" ht="15.75">
      <c r="A26" s="361">
        <v>45853</v>
      </c>
      <c r="B26" s="361"/>
      <c r="C26" s="232" t="s">
        <v>2578</v>
      </c>
      <c r="D26" s="232" t="s">
        <v>127</v>
      </c>
      <c r="E26" s="232" t="s">
        <v>117</v>
      </c>
      <c r="F26" s="123">
        <v>103494</v>
      </c>
      <c r="G26" s="122"/>
      <c r="H26" s="95">
        <f t="shared" si="0"/>
        <v>390039</v>
      </c>
      <c r="I26" s="76" t="s">
        <v>148</v>
      </c>
      <c r="J26" s="76" t="s">
        <v>2579</v>
      </c>
    </row>
    <row r="27" spans="1:10" ht="15.75">
      <c r="A27" s="361">
        <v>45853</v>
      </c>
      <c r="B27" s="361"/>
      <c r="C27" s="232" t="s">
        <v>2580</v>
      </c>
      <c r="D27" s="372" t="s">
        <v>127</v>
      </c>
      <c r="E27" s="232" t="s">
        <v>118</v>
      </c>
      <c r="F27" s="123">
        <v>124433</v>
      </c>
      <c r="G27" s="122"/>
      <c r="H27" s="95">
        <f t="shared" si="0"/>
        <v>265606</v>
      </c>
      <c r="I27" s="76" t="s">
        <v>148</v>
      </c>
      <c r="J27" s="76" t="s">
        <v>2581</v>
      </c>
    </row>
    <row r="28" spans="1:10" ht="15.75">
      <c r="A28" s="361">
        <v>45853</v>
      </c>
      <c r="B28" s="361"/>
      <c r="C28" s="232" t="s">
        <v>2582</v>
      </c>
      <c r="D28" s="372" t="s">
        <v>127</v>
      </c>
      <c r="E28" s="232" t="s">
        <v>120</v>
      </c>
      <c r="F28" s="123">
        <v>155330</v>
      </c>
      <c r="G28" s="122"/>
      <c r="H28" s="95">
        <f t="shared" si="0"/>
        <v>110276</v>
      </c>
      <c r="I28" s="76" t="s">
        <v>148</v>
      </c>
      <c r="J28" s="76" t="s">
        <v>2583</v>
      </c>
    </row>
    <row r="29" spans="1:10" ht="15">
      <c r="A29" s="361">
        <v>45860</v>
      </c>
      <c r="B29" s="361"/>
      <c r="C29" s="121" t="s">
        <v>2584</v>
      </c>
      <c r="D29" s="118" t="s">
        <v>125</v>
      </c>
      <c r="E29" s="118"/>
      <c r="F29" s="123"/>
      <c r="G29" s="122">
        <v>5377542</v>
      </c>
      <c r="H29" s="95">
        <f t="shared" si="0"/>
        <v>5487818</v>
      </c>
      <c r="I29" s="76" t="s">
        <v>148</v>
      </c>
      <c r="J29" s="76"/>
    </row>
    <row r="30" spans="1:10" ht="15.75">
      <c r="A30" s="361">
        <v>45862</v>
      </c>
      <c r="B30" s="361"/>
      <c r="C30" s="232" t="s">
        <v>2585</v>
      </c>
      <c r="D30" s="118" t="s">
        <v>124</v>
      </c>
      <c r="E30" s="127"/>
      <c r="F30" s="123">
        <v>950000</v>
      </c>
      <c r="G30" s="122"/>
      <c r="H30" s="95">
        <f t="shared" si="0"/>
        <v>4537818</v>
      </c>
      <c r="I30" s="76" t="s">
        <v>148</v>
      </c>
      <c r="J30" s="76" t="s">
        <v>2586</v>
      </c>
    </row>
    <row r="31" spans="1:10" ht="15">
      <c r="A31" s="361">
        <v>45863</v>
      </c>
      <c r="B31" s="361"/>
      <c r="C31" s="121" t="s">
        <v>2587</v>
      </c>
      <c r="D31" s="118" t="s">
        <v>127</v>
      </c>
      <c r="E31" s="118" t="s">
        <v>118</v>
      </c>
      <c r="F31" s="123">
        <v>230000</v>
      </c>
      <c r="G31" s="122"/>
      <c r="H31" s="95">
        <f t="shared" si="0"/>
        <v>4307818</v>
      </c>
      <c r="I31" s="76" t="s">
        <v>148</v>
      </c>
      <c r="J31" s="76" t="s">
        <v>2588</v>
      </c>
    </row>
    <row r="32" spans="1:10" ht="15">
      <c r="A32" s="361">
        <v>45863</v>
      </c>
      <c r="B32" s="361"/>
      <c r="C32" s="121" t="s">
        <v>2589</v>
      </c>
      <c r="D32" s="118" t="s">
        <v>127</v>
      </c>
      <c r="E32" s="371" t="s">
        <v>117</v>
      </c>
      <c r="F32" s="123">
        <v>200000</v>
      </c>
      <c r="G32" s="122"/>
      <c r="H32" s="95">
        <f t="shared" si="0"/>
        <v>4107818</v>
      </c>
      <c r="I32" s="76" t="s">
        <v>148</v>
      </c>
      <c r="J32" s="76" t="s">
        <v>2590</v>
      </c>
    </row>
    <row r="33" spans="1:10" ht="15">
      <c r="A33" s="361">
        <v>45863</v>
      </c>
      <c r="B33" s="361"/>
      <c r="C33" s="121" t="s">
        <v>2591</v>
      </c>
      <c r="D33" s="129" t="s">
        <v>127</v>
      </c>
      <c r="E33" s="128" t="s">
        <v>117</v>
      </c>
      <c r="F33" s="123">
        <v>200000</v>
      </c>
      <c r="G33" s="122"/>
      <c r="H33" s="95">
        <f t="shared" si="0"/>
        <v>3907818</v>
      </c>
      <c r="I33" s="76" t="s">
        <v>148</v>
      </c>
      <c r="J33" s="76" t="s">
        <v>2592</v>
      </c>
    </row>
    <row r="34" spans="1:10" ht="15">
      <c r="A34" s="361">
        <v>45863</v>
      </c>
      <c r="B34" s="361"/>
      <c r="C34" s="121" t="s">
        <v>2593</v>
      </c>
      <c r="D34" s="127" t="s">
        <v>127</v>
      </c>
      <c r="E34" s="128" t="s">
        <v>117</v>
      </c>
      <c r="F34" s="123">
        <v>1037411</v>
      </c>
      <c r="G34" s="122"/>
      <c r="H34" s="95">
        <f t="shared" si="0"/>
        <v>2870407</v>
      </c>
      <c r="I34" s="76" t="s">
        <v>148</v>
      </c>
      <c r="J34" s="76" t="s">
        <v>2594</v>
      </c>
    </row>
    <row r="35" spans="1:10" ht="15">
      <c r="A35" s="361">
        <v>45863</v>
      </c>
      <c r="B35" s="361"/>
      <c r="C35" s="170" t="s">
        <v>2595</v>
      </c>
      <c r="D35" s="165" t="s">
        <v>127</v>
      </c>
      <c r="E35" s="127" t="s">
        <v>117</v>
      </c>
      <c r="F35" s="123">
        <v>300000</v>
      </c>
      <c r="G35" s="122"/>
      <c r="H35" s="95">
        <f t="shared" si="0"/>
        <v>2570407</v>
      </c>
      <c r="I35" s="76" t="s">
        <v>148</v>
      </c>
      <c r="J35" s="76" t="s">
        <v>2596</v>
      </c>
    </row>
    <row r="36" spans="1:10" ht="15">
      <c r="A36" s="361">
        <v>45863</v>
      </c>
      <c r="B36" s="361"/>
      <c r="C36" s="170" t="s">
        <v>2597</v>
      </c>
      <c r="D36" s="253" t="s">
        <v>127</v>
      </c>
      <c r="E36" s="127" t="s">
        <v>120</v>
      </c>
      <c r="F36" s="123">
        <v>238140</v>
      </c>
      <c r="G36" s="122"/>
      <c r="H36" s="95">
        <f t="shared" si="0"/>
        <v>2332267</v>
      </c>
      <c r="I36" s="76" t="s">
        <v>148</v>
      </c>
      <c r="J36" s="76" t="s">
        <v>2598</v>
      </c>
    </row>
    <row r="37" spans="1:10" ht="15">
      <c r="A37" s="361">
        <v>45863</v>
      </c>
      <c r="B37" s="361"/>
      <c r="C37" s="121" t="s">
        <v>2599</v>
      </c>
      <c r="D37" s="171" t="s">
        <v>127</v>
      </c>
      <c r="E37" s="171" t="s">
        <v>117</v>
      </c>
      <c r="F37" s="123">
        <v>70968</v>
      </c>
      <c r="G37" s="122"/>
      <c r="H37" s="95">
        <f t="shared" si="0"/>
        <v>2261299</v>
      </c>
      <c r="I37" s="76" t="s">
        <v>148</v>
      </c>
      <c r="J37" s="76" t="s">
        <v>2600</v>
      </c>
    </row>
    <row r="38" spans="1:10" ht="15">
      <c r="A38" s="363">
        <v>45863</v>
      </c>
      <c r="B38" s="363"/>
      <c r="C38" s="373" t="s">
        <v>2601</v>
      </c>
      <c r="D38" s="374" t="s">
        <v>126</v>
      </c>
      <c r="E38" s="375" t="s">
        <v>118</v>
      </c>
      <c r="F38" s="367">
        <v>500000</v>
      </c>
      <c r="G38" s="368"/>
      <c r="H38" s="369">
        <f t="shared" si="0"/>
        <v>1761299</v>
      </c>
      <c r="I38" s="370" t="s">
        <v>148</v>
      </c>
      <c r="J38" s="76" t="s">
        <v>2602</v>
      </c>
    </row>
    <row r="39" spans="1:10" ht="15">
      <c r="A39" s="361">
        <v>45863</v>
      </c>
      <c r="B39" s="361"/>
      <c r="C39" s="121" t="s">
        <v>2567</v>
      </c>
      <c r="D39" s="129"/>
      <c r="E39" s="128"/>
      <c r="F39" s="123">
        <v>10665</v>
      </c>
      <c r="G39" s="122"/>
      <c r="H39" s="95">
        <f t="shared" si="0"/>
        <v>1750634</v>
      </c>
      <c r="I39" s="76" t="s">
        <v>148</v>
      </c>
      <c r="J39" s="76" t="s">
        <v>2604</v>
      </c>
    </row>
    <row r="40" spans="1:10" ht="15">
      <c r="A40" s="361">
        <v>45866</v>
      </c>
      <c r="B40" s="361"/>
      <c r="C40" s="119" t="s">
        <v>2605</v>
      </c>
      <c r="D40" s="118" t="s">
        <v>123</v>
      </c>
      <c r="E40" s="118" t="s">
        <v>117</v>
      </c>
      <c r="F40" s="123">
        <v>300000</v>
      </c>
      <c r="G40" s="122"/>
      <c r="H40" s="95">
        <f t="shared" si="0"/>
        <v>1450634</v>
      </c>
      <c r="I40" s="76" t="s">
        <v>148</v>
      </c>
      <c r="J40" s="76" t="s">
        <v>2606</v>
      </c>
    </row>
    <row r="41" spans="1:10" ht="15">
      <c r="A41" s="361">
        <v>45868</v>
      </c>
      <c r="B41" s="361"/>
      <c r="C41" s="121" t="s">
        <v>2607</v>
      </c>
      <c r="D41" s="118" t="s">
        <v>127</v>
      </c>
      <c r="E41" s="118" t="s">
        <v>121</v>
      </c>
      <c r="F41" s="123">
        <v>370000</v>
      </c>
      <c r="G41" s="122"/>
      <c r="H41" s="95">
        <f t="shared" si="0"/>
        <v>1080634</v>
      </c>
      <c r="I41" s="76" t="s">
        <v>148</v>
      </c>
      <c r="J41" s="76" t="s">
        <v>2608</v>
      </c>
    </row>
    <row r="42" spans="1:10" ht="15">
      <c r="A42" s="361">
        <v>45868</v>
      </c>
      <c r="B42" s="361"/>
      <c r="C42" s="121" t="s">
        <v>2609</v>
      </c>
      <c r="D42" s="171" t="s">
        <v>127</v>
      </c>
      <c r="E42" s="118" t="s">
        <v>121</v>
      </c>
      <c r="F42" s="123">
        <v>225000</v>
      </c>
      <c r="G42" s="122"/>
      <c r="H42" s="95">
        <f t="shared" si="0"/>
        <v>855634</v>
      </c>
      <c r="I42" s="76" t="s">
        <v>148</v>
      </c>
      <c r="J42" s="76" t="s">
        <v>2610</v>
      </c>
    </row>
  </sheetData>
  <autoFilter ref="A1:J15">
    <sortState ref="A2:I15">
      <sortCondition ref="A1:A14"/>
    </sortState>
  </autoFilter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8"/>
  <sheetViews>
    <sheetView topLeftCell="B1" zoomScaleNormal="100" workbookViewId="0">
      <selection activeCell="AD15" sqref="AD15"/>
    </sheetView>
  </sheetViews>
  <sheetFormatPr baseColWidth="10" defaultColWidth="8.75" defaultRowHeight="14.25"/>
  <cols>
    <col min="1" max="1" width="13.125" customWidth="1"/>
    <col min="2" max="2" width="10.125" customWidth="1"/>
    <col min="3" max="3" width="100" customWidth="1"/>
    <col min="4" max="4" width="31.625" customWidth="1"/>
    <col min="5" max="5" width="16.625" customWidth="1"/>
  </cols>
  <sheetData>
    <row r="1" spans="1:5" ht="15.75">
      <c r="A1" s="382" t="s">
        <v>32</v>
      </c>
      <c r="B1" s="383"/>
      <c r="C1" s="383"/>
      <c r="D1" s="383"/>
      <c r="E1" s="383"/>
    </row>
    <row r="2" spans="1:5" ht="15.75">
      <c r="A2" s="384" t="s">
        <v>33</v>
      </c>
      <c r="B2" s="384" t="s">
        <v>98</v>
      </c>
      <c r="C2" s="384"/>
      <c r="D2" s="385"/>
      <c r="E2" s="384"/>
    </row>
    <row r="3" spans="1:5" ht="15.75">
      <c r="A3" s="384" t="s">
        <v>34</v>
      </c>
      <c r="B3" s="386">
        <v>45839</v>
      </c>
      <c r="C3" s="387"/>
      <c r="D3" s="384"/>
      <c r="E3" s="384"/>
    </row>
    <row r="4" spans="1:5" ht="15.75">
      <c r="A4" s="384"/>
      <c r="B4" s="384"/>
      <c r="C4" s="384"/>
      <c r="D4" s="384"/>
      <c r="E4" s="384"/>
    </row>
    <row r="5" spans="1:5" ht="15.75">
      <c r="A5" s="384" t="s">
        <v>35</v>
      </c>
      <c r="B5" s="384"/>
      <c r="C5" s="384"/>
      <c r="D5" s="384"/>
      <c r="E5" s="384"/>
    </row>
    <row r="6" spans="1:5" ht="16.5" thickBot="1">
      <c r="A6" s="388" t="s">
        <v>53</v>
      </c>
      <c r="B6" s="388"/>
      <c r="C6" s="388"/>
      <c r="D6" s="388"/>
      <c r="E6" s="388"/>
    </row>
    <row r="7" spans="1:5" ht="16.5" thickBot="1">
      <c r="A7" s="502" t="s">
        <v>36</v>
      </c>
      <c r="B7" s="503"/>
      <c r="C7" s="503"/>
      <c r="D7" s="503"/>
      <c r="E7" s="504"/>
    </row>
    <row r="8" spans="1:5" ht="16.5" thickBot="1">
      <c r="A8" s="389"/>
      <c r="B8" s="390"/>
      <c r="C8" s="390"/>
      <c r="D8" s="391"/>
      <c r="E8" s="392"/>
    </row>
    <row r="9" spans="1:5" ht="15.75">
      <c r="A9" s="393" t="s">
        <v>0</v>
      </c>
      <c r="B9" s="394" t="s">
        <v>37</v>
      </c>
      <c r="C9" s="395" t="s">
        <v>38</v>
      </c>
      <c r="D9" s="396" t="s">
        <v>39</v>
      </c>
      <c r="E9" s="397" t="s">
        <v>40</v>
      </c>
    </row>
    <row r="10" spans="1:5" ht="15.75">
      <c r="A10" s="398">
        <v>45839</v>
      </c>
      <c r="B10" s="398"/>
      <c r="C10" s="232" t="s">
        <v>2611</v>
      </c>
      <c r="D10" s="399">
        <f>+'Bank journal'!H2</f>
        <v>1636236</v>
      </c>
      <c r="E10" s="400"/>
    </row>
    <row r="11" spans="1:5" ht="15.75">
      <c r="A11" s="398">
        <v>45841</v>
      </c>
      <c r="B11" s="398"/>
      <c r="C11" s="183" t="s">
        <v>2539</v>
      </c>
      <c r="D11" s="400"/>
      <c r="E11" s="400">
        <v>300000</v>
      </c>
    </row>
    <row r="12" spans="1:5" ht="15.75">
      <c r="A12" s="398">
        <v>45841</v>
      </c>
      <c r="B12" s="398"/>
      <c r="C12" s="401" t="s">
        <v>2541</v>
      </c>
      <c r="D12" s="400"/>
      <c r="E12" s="400">
        <v>300000</v>
      </c>
    </row>
    <row r="13" spans="1:5" ht="15.75">
      <c r="A13" s="398">
        <v>45841</v>
      </c>
      <c r="B13" s="398"/>
      <c r="C13" s="402" t="s">
        <v>2543</v>
      </c>
      <c r="D13" s="403"/>
      <c r="E13" s="400">
        <v>260000</v>
      </c>
    </row>
    <row r="14" spans="1:5" s="479" customFormat="1" ht="15.75">
      <c r="A14" s="476">
        <v>45846</v>
      </c>
      <c r="B14" s="476"/>
      <c r="C14" s="404" t="s">
        <v>2160</v>
      </c>
      <c r="D14" s="477"/>
      <c r="E14" s="478">
        <v>500000</v>
      </c>
    </row>
    <row r="15" spans="1:5" s="479" customFormat="1" ht="15.75">
      <c r="A15" s="405">
        <v>45849</v>
      </c>
      <c r="B15" s="405"/>
      <c r="C15" s="406" t="s">
        <v>2546</v>
      </c>
      <c r="D15" s="407"/>
      <c r="E15" s="408">
        <v>150000</v>
      </c>
    </row>
    <row r="16" spans="1:5" ht="15.75">
      <c r="A16" s="398">
        <v>45849</v>
      </c>
      <c r="B16" s="398"/>
      <c r="C16" s="401" t="s">
        <v>2547</v>
      </c>
      <c r="D16" s="403">
        <v>5342381</v>
      </c>
      <c r="E16" s="409"/>
    </row>
    <row r="17" spans="1:5" ht="15.75">
      <c r="A17" s="398">
        <v>45849</v>
      </c>
      <c r="B17" s="398"/>
      <c r="C17" s="401" t="s">
        <v>2549</v>
      </c>
      <c r="D17" s="403"/>
      <c r="E17" s="400">
        <v>400000</v>
      </c>
    </row>
    <row r="18" spans="1:5" ht="15.75">
      <c r="A18" s="398">
        <v>45849</v>
      </c>
      <c r="B18" s="398"/>
      <c r="C18" s="401" t="s">
        <v>2551</v>
      </c>
      <c r="D18" s="403"/>
      <c r="E18" s="400">
        <v>255000</v>
      </c>
    </row>
    <row r="19" spans="1:5" ht="15.75">
      <c r="A19" s="398">
        <v>45849</v>
      </c>
      <c r="B19" s="398"/>
      <c r="C19" s="401" t="s">
        <v>2553</v>
      </c>
      <c r="D19" s="403"/>
      <c r="E19" s="400">
        <v>255000</v>
      </c>
    </row>
    <row r="20" spans="1:5" ht="15.75">
      <c r="A20" s="398">
        <v>45849</v>
      </c>
      <c r="B20" s="398"/>
      <c r="C20" s="401" t="s">
        <v>2555</v>
      </c>
      <c r="D20" s="403"/>
      <c r="E20" s="400">
        <v>255000</v>
      </c>
    </row>
    <row r="21" spans="1:5" ht="15.75">
      <c r="A21" s="398">
        <v>45849</v>
      </c>
      <c r="B21" s="398"/>
      <c r="C21" s="401" t="s">
        <v>2676</v>
      </c>
      <c r="D21" s="403"/>
      <c r="E21" s="400">
        <v>230000</v>
      </c>
    </row>
    <row r="22" spans="1:5" ht="15.75">
      <c r="A22" s="398">
        <v>45849</v>
      </c>
      <c r="B22" s="398"/>
      <c r="C22" s="401" t="s">
        <v>2677</v>
      </c>
      <c r="D22" s="403"/>
      <c r="E22" s="400">
        <v>200000</v>
      </c>
    </row>
    <row r="23" spans="1:5" ht="15.75">
      <c r="A23" s="398">
        <v>45849</v>
      </c>
      <c r="B23" s="398"/>
      <c r="C23" s="401" t="s">
        <v>2559</v>
      </c>
      <c r="D23" s="403"/>
      <c r="E23" s="400">
        <v>551482</v>
      </c>
    </row>
    <row r="24" spans="1:5" ht="15.75">
      <c r="A24" s="398">
        <v>45849</v>
      </c>
      <c r="B24" s="398"/>
      <c r="C24" s="404" t="s">
        <v>2561</v>
      </c>
      <c r="D24" s="403"/>
      <c r="E24" s="400">
        <v>300000</v>
      </c>
    </row>
    <row r="25" spans="1:5" ht="15.75">
      <c r="A25" s="398">
        <v>45849</v>
      </c>
      <c r="B25" s="398"/>
      <c r="C25" s="404" t="s">
        <v>2563</v>
      </c>
      <c r="D25" s="403"/>
      <c r="E25" s="400">
        <v>238140</v>
      </c>
    </row>
    <row r="26" spans="1:5" ht="15.75">
      <c r="A26" s="398">
        <v>45849</v>
      </c>
      <c r="B26" s="398"/>
      <c r="C26" s="404" t="s">
        <v>2679</v>
      </c>
      <c r="D26" s="403"/>
      <c r="E26" s="400">
        <v>786600</v>
      </c>
    </row>
    <row r="27" spans="1:5" ht="15.75">
      <c r="A27" s="398">
        <v>45849</v>
      </c>
      <c r="B27" s="398"/>
      <c r="C27" s="404" t="s">
        <v>2680</v>
      </c>
      <c r="D27" s="403"/>
      <c r="E27" s="400">
        <v>524400</v>
      </c>
    </row>
    <row r="28" spans="1:5" ht="15.75">
      <c r="A28" s="398">
        <v>45849</v>
      </c>
      <c r="B28" s="398"/>
      <c r="C28" s="401" t="s">
        <v>2603</v>
      </c>
      <c r="D28" s="403"/>
      <c r="E28" s="400">
        <v>10665</v>
      </c>
    </row>
    <row r="29" spans="1:5" ht="15.75">
      <c r="A29" s="398">
        <v>45852</v>
      </c>
      <c r="B29" s="398"/>
      <c r="C29" s="401" t="s">
        <v>2675</v>
      </c>
      <c r="D29" s="403"/>
      <c r="E29" s="400">
        <v>200000</v>
      </c>
    </row>
    <row r="30" spans="1:5" ht="15.75">
      <c r="A30" s="398">
        <v>45853</v>
      </c>
      <c r="B30" s="398"/>
      <c r="C30" s="232" t="s">
        <v>2570</v>
      </c>
      <c r="D30" s="403"/>
      <c r="E30" s="400">
        <v>368700</v>
      </c>
    </row>
    <row r="31" spans="1:5" ht="15.75">
      <c r="A31" s="398">
        <v>45853</v>
      </c>
      <c r="B31" s="398"/>
      <c r="C31" s="232" t="s">
        <v>2572</v>
      </c>
      <c r="D31" s="403"/>
      <c r="E31" s="400">
        <v>177789</v>
      </c>
    </row>
    <row r="32" spans="1:5" ht="15.75">
      <c r="A32" s="398">
        <v>45853</v>
      </c>
      <c r="B32" s="398"/>
      <c r="C32" s="232" t="s">
        <v>2574</v>
      </c>
      <c r="D32" s="403"/>
      <c r="E32" s="400">
        <v>118814</v>
      </c>
    </row>
    <row r="33" spans="1:5" ht="15.75">
      <c r="A33" s="398">
        <v>45853</v>
      </c>
      <c r="B33" s="398"/>
      <c r="C33" s="232" t="s">
        <v>2576</v>
      </c>
      <c r="D33" s="403"/>
      <c r="E33" s="400">
        <v>103494</v>
      </c>
    </row>
    <row r="34" spans="1:5" ht="15.75">
      <c r="A34" s="398">
        <v>45853</v>
      </c>
      <c r="B34" s="398"/>
      <c r="C34" s="232" t="s">
        <v>2578</v>
      </c>
      <c r="D34" s="403"/>
      <c r="E34" s="400">
        <v>103494</v>
      </c>
    </row>
    <row r="35" spans="1:5" ht="15.75">
      <c r="A35" s="398">
        <v>45853</v>
      </c>
      <c r="B35" s="398"/>
      <c r="C35" s="232" t="s">
        <v>2580</v>
      </c>
      <c r="D35" s="403"/>
      <c r="E35" s="400">
        <v>124433</v>
      </c>
    </row>
    <row r="36" spans="1:5" ht="15.75">
      <c r="A36" s="398">
        <v>45853</v>
      </c>
      <c r="B36" s="398"/>
      <c r="C36" s="232" t="s">
        <v>2582</v>
      </c>
      <c r="D36" s="403"/>
      <c r="E36" s="400">
        <v>155330</v>
      </c>
    </row>
    <row r="37" spans="1:5" ht="15.75">
      <c r="A37" s="398">
        <v>45860</v>
      </c>
      <c r="B37" s="398"/>
      <c r="C37" s="401" t="s">
        <v>2584</v>
      </c>
      <c r="D37" s="403">
        <v>5377542</v>
      </c>
      <c r="E37" s="400"/>
    </row>
    <row r="38" spans="1:5" ht="15.75">
      <c r="A38" s="398">
        <v>45862</v>
      </c>
      <c r="B38" s="398"/>
      <c r="C38" s="232" t="s">
        <v>2585</v>
      </c>
      <c r="D38" s="403"/>
      <c r="E38" s="400">
        <v>950000</v>
      </c>
    </row>
    <row r="39" spans="1:5" ht="15.75">
      <c r="A39" s="398">
        <v>45863</v>
      </c>
      <c r="B39" s="398"/>
      <c r="C39" s="401" t="s">
        <v>2587</v>
      </c>
      <c r="D39" s="403"/>
      <c r="E39" s="400">
        <v>230000</v>
      </c>
    </row>
    <row r="40" spans="1:5" ht="15.75">
      <c r="A40" s="398">
        <v>45863</v>
      </c>
      <c r="B40" s="398"/>
      <c r="C40" s="401" t="s">
        <v>2589</v>
      </c>
      <c r="D40" s="403"/>
      <c r="E40" s="400">
        <v>200000</v>
      </c>
    </row>
    <row r="41" spans="1:5" ht="15.75">
      <c r="A41" s="398">
        <v>45863</v>
      </c>
      <c r="B41" s="398"/>
      <c r="C41" s="401" t="s">
        <v>2591</v>
      </c>
      <c r="D41" s="403"/>
      <c r="E41" s="400">
        <v>200000</v>
      </c>
    </row>
    <row r="42" spans="1:5" ht="15.75">
      <c r="A42" s="398">
        <v>45863</v>
      </c>
      <c r="B42" s="398"/>
      <c r="C42" s="401" t="s">
        <v>2593</v>
      </c>
      <c r="D42" s="403"/>
      <c r="E42" s="400">
        <v>1037411</v>
      </c>
    </row>
    <row r="43" spans="1:5" ht="15.75">
      <c r="A43" s="398">
        <v>45863</v>
      </c>
      <c r="B43" s="398"/>
      <c r="C43" s="404" t="s">
        <v>2595</v>
      </c>
      <c r="D43" s="403"/>
      <c r="E43" s="400">
        <v>300000</v>
      </c>
    </row>
    <row r="44" spans="1:5" ht="15.75">
      <c r="A44" s="398">
        <v>45863</v>
      </c>
      <c r="B44" s="398"/>
      <c r="C44" s="404" t="s">
        <v>2597</v>
      </c>
      <c r="D44" s="403"/>
      <c r="E44" s="400">
        <v>238140</v>
      </c>
    </row>
    <row r="45" spans="1:5" ht="15.75">
      <c r="A45" s="398">
        <v>45863</v>
      </c>
      <c r="B45" s="398"/>
      <c r="C45" s="401" t="s">
        <v>2599</v>
      </c>
      <c r="D45" s="403"/>
      <c r="E45" s="400">
        <v>70968</v>
      </c>
    </row>
    <row r="46" spans="1:5" s="479" customFormat="1" ht="15.75">
      <c r="A46" s="405">
        <v>45863</v>
      </c>
      <c r="B46" s="405"/>
      <c r="C46" s="406" t="s">
        <v>2667</v>
      </c>
      <c r="D46" s="407"/>
      <c r="E46" s="408">
        <v>500000</v>
      </c>
    </row>
    <row r="47" spans="1:5" ht="15.75">
      <c r="A47" s="398">
        <v>45863</v>
      </c>
      <c r="B47" s="398"/>
      <c r="C47" s="401" t="s">
        <v>2567</v>
      </c>
      <c r="D47" s="403"/>
      <c r="E47" s="400">
        <v>10665</v>
      </c>
    </row>
    <row r="48" spans="1:5" ht="15.75">
      <c r="A48" s="398">
        <v>45866</v>
      </c>
      <c r="B48" s="398"/>
      <c r="C48" s="401" t="s">
        <v>2605</v>
      </c>
      <c r="D48" s="403"/>
      <c r="E48" s="400">
        <v>300000</v>
      </c>
    </row>
    <row r="49" spans="1:5" ht="15.75">
      <c r="A49" s="398">
        <v>45868</v>
      </c>
      <c r="B49" s="398"/>
      <c r="C49" s="401" t="s">
        <v>2607</v>
      </c>
      <c r="D49" s="403"/>
      <c r="E49" s="400">
        <v>370000</v>
      </c>
    </row>
    <row r="50" spans="1:5" ht="15.75">
      <c r="A50" s="398">
        <v>45868</v>
      </c>
      <c r="B50" s="398"/>
      <c r="C50" s="401" t="s">
        <v>2609</v>
      </c>
      <c r="D50" s="403"/>
      <c r="E50" s="400">
        <v>225000</v>
      </c>
    </row>
    <row r="51" spans="1:5" ht="15.75">
      <c r="A51" s="410"/>
      <c r="B51" s="411"/>
      <c r="C51" s="412"/>
      <c r="D51" s="413"/>
      <c r="E51" s="414"/>
    </row>
    <row r="52" spans="1:5" ht="15.75">
      <c r="A52" s="415"/>
      <c r="B52" s="411"/>
      <c r="C52" s="416"/>
      <c r="D52" s="403"/>
      <c r="E52" s="400"/>
    </row>
    <row r="53" spans="1:5" ht="15.75">
      <c r="A53" s="417"/>
      <c r="B53" s="418"/>
      <c r="C53" s="135" t="s">
        <v>41</v>
      </c>
      <c r="D53" s="419"/>
      <c r="E53" s="409"/>
    </row>
    <row r="54" spans="1:5" ht="15.75">
      <c r="A54" s="415"/>
      <c r="B54" s="420"/>
      <c r="C54" s="404"/>
      <c r="D54" s="403"/>
      <c r="E54" s="400"/>
    </row>
    <row r="55" spans="1:5" ht="15.75">
      <c r="A55" s="415"/>
      <c r="B55" s="420"/>
      <c r="C55" s="183"/>
      <c r="D55" s="403"/>
      <c r="E55" s="400"/>
    </row>
    <row r="56" spans="1:5" ht="15.75">
      <c r="A56" s="415"/>
      <c r="B56" s="420"/>
      <c r="C56" s="401"/>
      <c r="D56" s="403"/>
      <c r="E56" s="400"/>
    </row>
    <row r="57" spans="1:5" ht="15.75">
      <c r="A57" s="415"/>
      <c r="B57" s="420"/>
      <c r="C57" s="401"/>
      <c r="D57" s="403"/>
      <c r="E57" s="400"/>
    </row>
    <row r="58" spans="1:5" ht="15.75">
      <c r="A58" s="415"/>
      <c r="B58" s="420"/>
      <c r="C58" s="401"/>
      <c r="D58" s="403"/>
      <c r="E58" s="400"/>
    </row>
    <row r="59" spans="1:5" ht="15.75">
      <c r="A59" s="415"/>
      <c r="B59" s="420"/>
      <c r="C59" s="401"/>
      <c r="D59" s="403"/>
      <c r="E59" s="400"/>
    </row>
    <row r="60" spans="1:5" ht="16.5" thickBot="1">
      <c r="A60" s="415"/>
      <c r="B60" s="420"/>
      <c r="C60" s="402"/>
      <c r="D60" s="403"/>
      <c r="E60" s="400"/>
    </row>
    <row r="61" spans="1:5" ht="16.5" thickBot="1">
      <c r="A61" s="421"/>
      <c r="B61" s="422"/>
      <c r="C61" s="423" t="s">
        <v>42</v>
      </c>
      <c r="D61" s="424">
        <f>SUM(D10:D60)-SUM(E10:E60)</f>
        <v>855634</v>
      </c>
      <c r="E61" s="425"/>
    </row>
    <row r="62" spans="1:5" ht="15.75" thickBot="1">
      <c r="A62" s="426"/>
      <c r="B62" s="427"/>
      <c r="C62" s="427"/>
      <c r="D62" s="428"/>
      <c r="E62" s="428"/>
    </row>
    <row r="63" spans="1:5" ht="15.75">
      <c r="A63" s="429"/>
      <c r="B63" s="384"/>
      <c r="C63" s="384" t="s">
        <v>43</v>
      </c>
      <c r="D63" s="430"/>
      <c r="E63" s="429"/>
    </row>
    <row r="64" spans="1:5" ht="15.75">
      <c r="A64" s="429"/>
      <c r="B64" s="384"/>
      <c r="C64" s="384"/>
      <c r="D64" s="430"/>
      <c r="E64" s="431">
        <f>+D60-E60</f>
        <v>0</v>
      </c>
    </row>
    <row r="65" spans="1:5" ht="15.75">
      <c r="A65" s="432"/>
      <c r="B65" s="432"/>
      <c r="C65" s="433"/>
      <c r="D65" s="430"/>
      <c r="E65" s="434"/>
    </row>
    <row r="66" spans="1:5" ht="15.75">
      <c r="A66" s="435"/>
      <c r="B66" s="435"/>
      <c r="C66" s="436" t="s">
        <v>57</v>
      </c>
      <c r="D66" s="430"/>
      <c r="E66" s="437"/>
    </row>
    <row r="67" spans="1:5" ht="16.5" thickBot="1">
      <c r="A67" s="435"/>
      <c r="B67" s="435"/>
      <c r="C67" s="438"/>
      <c r="D67" s="437"/>
      <c r="E67" s="437"/>
    </row>
    <row r="68" spans="1:5" ht="15.75">
      <c r="A68" s="435"/>
      <c r="B68" s="435"/>
      <c r="C68" s="505" t="s">
        <v>44</v>
      </c>
      <c r="D68" s="506"/>
      <c r="E68" s="507"/>
    </row>
    <row r="69" spans="1:5" ht="22.5" customHeight="1">
      <c r="A69" s="435"/>
      <c r="B69" s="435"/>
      <c r="C69" s="439" t="s">
        <v>96</v>
      </c>
      <c r="D69" s="508"/>
      <c r="E69" s="509"/>
    </row>
    <row r="70" spans="1:5" ht="15">
      <c r="A70" s="440"/>
      <c r="B70" s="435"/>
      <c r="C70" s="441"/>
      <c r="D70" s="510"/>
      <c r="E70" s="511"/>
    </row>
    <row r="71" spans="1:5" ht="15.75" thickBot="1">
      <c r="A71" s="435"/>
      <c r="B71" s="435"/>
      <c r="C71" s="442" t="s">
        <v>97</v>
      </c>
      <c r="D71" s="512"/>
      <c r="E71" s="513"/>
    </row>
    <row r="72" spans="1:5" ht="16.5" thickBot="1">
      <c r="A72" s="435"/>
      <c r="B72" s="435"/>
      <c r="C72" s="435"/>
      <c r="D72" s="443"/>
      <c r="E72" s="443"/>
    </row>
    <row r="73" spans="1:5" ht="15.75">
      <c r="A73" s="444" t="s">
        <v>0</v>
      </c>
      <c r="B73" s="445" t="s">
        <v>45</v>
      </c>
      <c r="C73" s="446" t="s">
        <v>1</v>
      </c>
      <c r="D73" s="447" t="s">
        <v>46</v>
      </c>
      <c r="E73" s="448"/>
    </row>
    <row r="74" spans="1:5" ht="15">
      <c r="A74" s="227"/>
      <c r="B74" s="227"/>
      <c r="C74" s="227"/>
      <c r="D74" s="449"/>
      <c r="E74" s="450"/>
    </row>
    <row r="75" spans="1:5" ht="15.75">
      <c r="A75" s="227"/>
      <c r="B75" s="227"/>
      <c r="C75" s="348" t="s">
        <v>54</v>
      </c>
      <c r="D75" s="449">
        <f>D61</f>
        <v>855634</v>
      </c>
      <c r="E75" s="450"/>
    </row>
    <row r="76" spans="1:5" ht="15">
      <c r="A76" s="227"/>
      <c r="B76" s="227"/>
      <c r="C76" s="227"/>
      <c r="D76" s="449"/>
      <c r="E76" s="450"/>
    </row>
    <row r="77" spans="1:5" ht="15">
      <c r="A77" s="227"/>
      <c r="B77" s="227"/>
      <c r="C77" s="227" t="s">
        <v>47</v>
      </c>
      <c r="D77" s="449"/>
      <c r="E77" s="450"/>
    </row>
    <row r="78" spans="1:5" ht="15.75">
      <c r="A78" s="227"/>
      <c r="B78" s="227"/>
      <c r="C78" s="348" t="s">
        <v>48</v>
      </c>
      <c r="D78" s="449"/>
      <c r="E78" s="450"/>
    </row>
    <row r="79" spans="1:5" ht="15.75">
      <c r="A79" s="415">
        <v>45849</v>
      </c>
      <c r="B79" s="420">
        <v>3654889</v>
      </c>
      <c r="C79" s="406" t="s">
        <v>2546</v>
      </c>
      <c r="D79" s="451">
        <v>150000</v>
      </c>
      <c r="E79" s="452"/>
    </row>
    <row r="80" spans="1:5" ht="15.75">
      <c r="A80" s="415">
        <v>45863</v>
      </c>
      <c r="B80" s="420">
        <v>3654407</v>
      </c>
      <c r="C80" s="406" t="s">
        <v>2601</v>
      </c>
      <c r="D80" s="451">
        <v>500000</v>
      </c>
      <c r="E80" s="453"/>
    </row>
    <row r="81" spans="1:5" ht="15.75">
      <c r="A81" s="415"/>
      <c r="B81" s="420"/>
      <c r="C81" s="404"/>
      <c r="D81" s="403"/>
      <c r="E81" s="453"/>
    </row>
    <row r="82" spans="1:5" ht="15.75">
      <c r="A82" s="227"/>
      <c r="B82" s="454"/>
      <c r="C82" s="227"/>
      <c r="D82" s="449"/>
      <c r="E82" s="450"/>
    </row>
    <row r="83" spans="1:5" ht="15.75">
      <c r="A83" s="227"/>
      <c r="B83" s="227"/>
      <c r="C83" s="348" t="s">
        <v>49</v>
      </c>
      <c r="D83" s="449"/>
      <c r="E83" s="449">
        <v>-10665</v>
      </c>
    </row>
    <row r="84" spans="1:5" ht="15.75">
      <c r="A84" s="415">
        <v>45849</v>
      </c>
      <c r="B84" s="420" t="s">
        <v>2635</v>
      </c>
      <c r="C84" s="401" t="s">
        <v>2636</v>
      </c>
      <c r="D84" s="449"/>
      <c r="E84" s="449">
        <v>-10665</v>
      </c>
    </row>
    <row r="85" spans="1:5" ht="15.75">
      <c r="A85" s="415">
        <v>45863</v>
      </c>
      <c r="B85" s="420" t="s">
        <v>2635</v>
      </c>
      <c r="C85" s="401" t="s">
        <v>2637</v>
      </c>
      <c r="D85" s="455"/>
      <c r="E85" s="456"/>
    </row>
    <row r="86" spans="1:5" ht="15.75">
      <c r="A86" s="415"/>
      <c r="B86" s="420"/>
      <c r="C86" s="401"/>
      <c r="D86" s="455"/>
      <c r="E86" s="450"/>
    </row>
    <row r="87" spans="1:5" ht="15">
      <c r="A87" s="457"/>
      <c r="B87" s="458"/>
      <c r="C87" s="227"/>
      <c r="D87" s="449"/>
      <c r="E87" s="450"/>
    </row>
    <row r="88" spans="1:5" ht="15">
      <c r="A88" s="457"/>
      <c r="B88" s="458"/>
      <c r="C88" s="227"/>
      <c r="D88" s="449"/>
      <c r="E88" s="450"/>
    </row>
    <row r="89" spans="1:5" ht="15">
      <c r="A89" s="459"/>
      <c r="B89" s="460"/>
      <c r="C89" s="461"/>
      <c r="D89" s="462"/>
      <c r="E89" s="450"/>
    </row>
    <row r="90" spans="1:5" ht="15.75" thickBot="1">
      <c r="A90" s="463"/>
      <c r="B90" s="464"/>
      <c r="C90" s="461"/>
      <c r="D90" s="465"/>
      <c r="E90" s="450"/>
    </row>
    <row r="91" spans="1:5" ht="16.5" thickBot="1">
      <c r="A91" s="466">
        <v>45869</v>
      </c>
      <c r="B91" s="467"/>
      <c r="C91" s="468" t="s">
        <v>2649</v>
      </c>
      <c r="D91" s="469">
        <f>SUM(D75:D90)</f>
        <v>1505634</v>
      </c>
      <c r="E91" s="470"/>
    </row>
    <row r="92" spans="1:5" ht="16.5" thickBot="1">
      <c r="A92" s="435"/>
      <c r="B92" s="435"/>
      <c r="C92" s="471" t="s">
        <v>50</v>
      </c>
      <c r="D92" s="469">
        <v>1505634</v>
      </c>
      <c r="E92" s="472"/>
    </row>
    <row r="93" spans="1:5" ht="15.75" thickBot="1">
      <c r="A93" s="435"/>
      <c r="B93" s="435"/>
      <c r="C93" s="435"/>
      <c r="D93" s="437"/>
      <c r="E93" s="449"/>
    </row>
    <row r="94" spans="1:5" ht="16.5" thickBot="1">
      <c r="A94" s="435"/>
      <c r="B94" s="435"/>
      <c r="C94" s="473" t="s">
        <v>51</v>
      </c>
      <c r="D94" s="474">
        <f>D91-D92</f>
        <v>0</v>
      </c>
      <c r="E94" s="450"/>
    </row>
    <row r="95" spans="1:5" ht="15">
      <c r="A95" s="435"/>
      <c r="B95" s="435"/>
      <c r="C95" s="435" t="s">
        <v>52</v>
      </c>
      <c r="D95" s="437"/>
      <c r="E95" s="437"/>
    </row>
    <row r="96" spans="1:5" ht="15.75">
      <c r="A96" s="436" t="s">
        <v>55</v>
      </c>
      <c r="B96" s="436"/>
      <c r="C96" s="436"/>
      <c r="D96" s="436" t="s">
        <v>56</v>
      </c>
      <c r="E96" s="475"/>
    </row>
    <row r="97" spans="1:5" ht="15">
      <c r="A97" s="475"/>
      <c r="B97" s="475"/>
      <c r="C97" s="475"/>
      <c r="D97" s="475"/>
      <c r="E97" s="475"/>
    </row>
    <row r="102" spans="1:5" ht="15">
      <c r="E102" s="162"/>
    </row>
    <row r="103" spans="1:5" ht="15">
      <c r="E103" s="162"/>
    </row>
    <row r="104" spans="1:5" ht="15">
      <c r="E104" s="162"/>
    </row>
    <row r="105" spans="1:5" ht="15">
      <c r="E105" s="162"/>
    </row>
    <row r="106" spans="1:5" ht="15">
      <c r="E106" s="162"/>
    </row>
    <row r="107" spans="1:5" ht="15">
      <c r="E107" s="162"/>
    </row>
    <row r="108" spans="1:5">
      <c r="E108" s="163"/>
    </row>
  </sheetData>
  <autoFilter ref="A9:E53">
    <sortState ref="A10:E43">
      <sortCondition ref="A9:A43"/>
    </sortState>
  </autoFilter>
  <mergeCells count="5">
    <mergeCell ref="A7:E7"/>
    <mergeCell ref="C68:E68"/>
    <mergeCell ref="D69:E69"/>
    <mergeCell ref="D70:E70"/>
    <mergeCell ref="D71:E71"/>
  </mergeCells>
  <pageMargins left="0.7" right="0.7" top="0.78740157499999996" bottom="0.78740157499999996" header="0.3" footer="0.3"/>
  <pageSetup paperSize="9" scale="47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39"/>
  <sheetViews>
    <sheetView zoomScale="90" zoomScaleNormal="90" workbookViewId="0">
      <selection activeCell="B35" sqref="B35"/>
    </sheetView>
  </sheetViews>
  <sheetFormatPr baseColWidth="10" defaultColWidth="8.75" defaultRowHeight="14.25"/>
  <cols>
    <col min="1" max="1" width="16.125" customWidth="1"/>
    <col min="2" max="2" width="77.125" customWidth="1"/>
    <col min="3" max="3" width="20.75" customWidth="1"/>
    <col min="4" max="4" width="19.375" customWidth="1"/>
    <col min="5" max="7" width="17.125" style="71" customWidth="1"/>
    <col min="8" max="9" width="17.125" customWidth="1"/>
    <col min="10" max="10" width="23.375" customWidth="1"/>
  </cols>
  <sheetData>
    <row r="1" spans="1:10" ht="15">
      <c r="A1" s="66" t="s">
        <v>0</v>
      </c>
      <c r="B1" s="67" t="s">
        <v>1</v>
      </c>
      <c r="C1" s="1" t="s">
        <v>2</v>
      </c>
      <c r="D1" s="1" t="s">
        <v>3</v>
      </c>
      <c r="E1" s="88" t="s">
        <v>29</v>
      </c>
      <c r="F1" s="89" t="s">
        <v>12</v>
      </c>
      <c r="G1" s="89" t="s">
        <v>30</v>
      </c>
      <c r="H1" s="68" t="s">
        <v>10</v>
      </c>
      <c r="I1" s="68" t="s">
        <v>6</v>
      </c>
      <c r="J1" s="98" t="s">
        <v>72</v>
      </c>
    </row>
    <row r="2" spans="1:10" ht="15" hidden="1">
      <c r="A2" s="131">
        <v>45839</v>
      </c>
      <c r="B2" s="132" t="s">
        <v>2613</v>
      </c>
      <c r="C2" s="132"/>
      <c r="D2" s="132"/>
      <c r="E2" s="230"/>
      <c r="F2" s="231"/>
      <c r="G2" s="231">
        <v>85969</v>
      </c>
      <c r="H2" s="132"/>
      <c r="I2" s="132"/>
    </row>
    <row r="3" spans="1:10" ht="15" hidden="1">
      <c r="A3" s="131">
        <v>45840</v>
      </c>
      <c r="B3" s="76" t="s">
        <v>2391</v>
      </c>
      <c r="C3" s="76" t="s">
        <v>118</v>
      </c>
      <c r="D3" s="130" t="s">
        <v>317</v>
      </c>
      <c r="E3" s="222">
        <v>20000</v>
      </c>
      <c r="F3" s="223"/>
      <c r="G3" s="378">
        <f t="shared" ref="G3:G39" si="0">G2+F3-E3</f>
        <v>65969</v>
      </c>
      <c r="H3" s="91" t="s">
        <v>643</v>
      </c>
      <c r="I3" s="132" t="s">
        <v>2435</v>
      </c>
    </row>
    <row r="4" spans="1:10" ht="15">
      <c r="A4" s="131">
        <v>45841</v>
      </c>
      <c r="B4" s="130" t="s">
        <v>196</v>
      </c>
      <c r="C4" s="76"/>
      <c r="D4" s="130" t="s">
        <v>124</v>
      </c>
      <c r="E4" s="222">
        <v>15000</v>
      </c>
      <c r="F4" s="223"/>
      <c r="G4" s="378">
        <f t="shared" si="0"/>
        <v>50969</v>
      </c>
      <c r="H4" s="91" t="s">
        <v>196</v>
      </c>
      <c r="I4" s="132" t="s">
        <v>2614</v>
      </c>
    </row>
    <row r="5" spans="1:10" ht="15" hidden="1">
      <c r="A5" s="131">
        <v>45846</v>
      </c>
      <c r="B5" s="130" t="s">
        <v>2472</v>
      </c>
      <c r="C5" s="76" t="s">
        <v>118</v>
      </c>
      <c r="D5" s="76" t="s">
        <v>172</v>
      </c>
      <c r="E5" s="222">
        <v>2000</v>
      </c>
      <c r="F5" s="223"/>
      <c r="G5" s="378">
        <f t="shared" si="0"/>
        <v>48969</v>
      </c>
      <c r="H5" s="91" t="s">
        <v>196</v>
      </c>
      <c r="I5" s="132" t="s">
        <v>2481</v>
      </c>
    </row>
    <row r="6" spans="1:10" ht="15" hidden="1">
      <c r="A6" s="131">
        <v>45848</v>
      </c>
      <c r="B6" s="76" t="s">
        <v>2394</v>
      </c>
      <c r="C6" s="76" t="s">
        <v>121</v>
      </c>
      <c r="D6" s="130" t="s">
        <v>1737</v>
      </c>
      <c r="E6" s="222">
        <v>-60000</v>
      </c>
      <c r="F6" s="223"/>
      <c r="G6" s="378">
        <f t="shared" si="0"/>
        <v>108969</v>
      </c>
      <c r="H6" s="91" t="s">
        <v>643</v>
      </c>
      <c r="I6" s="132" t="s">
        <v>2436</v>
      </c>
    </row>
    <row r="7" spans="1:10" ht="15">
      <c r="A7" s="131">
        <v>45848</v>
      </c>
      <c r="B7" s="76" t="s">
        <v>217</v>
      </c>
      <c r="C7" s="76"/>
      <c r="D7" s="130" t="s">
        <v>124</v>
      </c>
      <c r="E7" s="222">
        <v>50000</v>
      </c>
      <c r="F7" s="223"/>
      <c r="G7" s="378">
        <f t="shared" si="0"/>
        <v>58969</v>
      </c>
      <c r="H7" s="91" t="s">
        <v>217</v>
      </c>
      <c r="I7" s="132" t="s">
        <v>2615</v>
      </c>
    </row>
    <row r="8" spans="1:10" ht="15" hidden="1">
      <c r="A8" s="131">
        <v>45854</v>
      </c>
      <c r="B8" s="130" t="s">
        <v>2616</v>
      </c>
      <c r="C8" s="130" t="s">
        <v>118</v>
      </c>
      <c r="D8" s="130" t="s">
        <v>152</v>
      </c>
      <c r="E8" s="222">
        <v>25000</v>
      </c>
      <c r="F8" s="223"/>
      <c r="G8" s="378">
        <f t="shared" si="0"/>
        <v>33969</v>
      </c>
      <c r="H8" s="130" t="s">
        <v>2146</v>
      </c>
      <c r="I8" s="132" t="s">
        <v>1716</v>
      </c>
    </row>
    <row r="9" spans="1:10" ht="15">
      <c r="A9" s="131">
        <v>45854</v>
      </c>
      <c r="B9" s="76" t="s">
        <v>187</v>
      </c>
      <c r="C9" s="76"/>
      <c r="D9" s="76" t="s">
        <v>124</v>
      </c>
      <c r="E9" s="222"/>
      <c r="F9" s="223">
        <v>40000</v>
      </c>
      <c r="G9" s="378">
        <f t="shared" si="0"/>
        <v>73969</v>
      </c>
      <c r="H9" s="91" t="s">
        <v>187</v>
      </c>
      <c r="I9" s="132" t="s">
        <v>2617</v>
      </c>
    </row>
    <row r="10" spans="1:10" ht="15">
      <c r="A10" s="131">
        <v>45859</v>
      </c>
      <c r="B10" s="76" t="s">
        <v>217</v>
      </c>
      <c r="C10" s="76"/>
      <c r="D10" s="76" t="s">
        <v>124</v>
      </c>
      <c r="E10" s="222"/>
      <c r="F10" s="223">
        <v>50000</v>
      </c>
      <c r="G10" s="378">
        <f t="shared" si="0"/>
        <v>123969</v>
      </c>
      <c r="H10" s="91" t="s">
        <v>217</v>
      </c>
      <c r="I10" s="132" t="s">
        <v>2618</v>
      </c>
    </row>
    <row r="11" spans="1:10" ht="15" hidden="1">
      <c r="A11" s="131">
        <v>45859</v>
      </c>
      <c r="B11" s="76" t="s">
        <v>931</v>
      </c>
      <c r="C11" s="76" t="s">
        <v>118</v>
      </c>
      <c r="D11" s="76" t="s">
        <v>172</v>
      </c>
      <c r="E11" s="222">
        <v>31250</v>
      </c>
      <c r="F11" s="223"/>
      <c r="G11" s="378">
        <f t="shared" si="0"/>
        <v>92719</v>
      </c>
      <c r="H11" s="91" t="s">
        <v>193</v>
      </c>
      <c r="I11" s="132" t="s">
        <v>2463</v>
      </c>
    </row>
    <row r="12" spans="1:10" ht="15" hidden="1">
      <c r="A12" s="131">
        <v>45859</v>
      </c>
      <c r="B12" s="76" t="s">
        <v>931</v>
      </c>
      <c r="C12" s="76" t="s">
        <v>118</v>
      </c>
      <c r="D12" s="76" t="s">
        <v>172</v>
      </c>
      <c r="E12" s="222">
        <v>31250</v>
      </c>
      <c r="F12" s="223"/>
      <c r="G12" s="378">
        <f t="shared" si="0"/>
        <v>61469</v>
      </c>
      <c r="H12" s="91" t="s">
        <v>196</v>
      </c>
      <c r="I12" s="132" t="s">
        <v>2482</v>
      </c>
    </row>
    <row r="13" spans="1:10" ht="15">
      <c r="A13" s="131">
        <v>45860</v>
      </c>
      <c r="B13" s="76" t="s">
        <v>200</v>
      </c>
      <c r="C13" s="76"/>
      <c r="D13" s="76" t="s">
        <v>124</v>
      </c>
      <c r="E13" s="223">
        <v>50000</v>
      </c>
      <c r="F13" s="223"/>
      <c r="G13" s="378">
        <f t="shared" si="0"/>
        <v>11469</v>
      </c>
      <c r="H13" s="91" t="s">
        <v>200</v>
      </c>
      <c r="I13" s="132" t="s">
        <v>2619</v>
      </c>
    </row>
    <row r="14" spans="1:10" ht="15" hidden="1">
      <c r="A14" s="131">
        <v>45860</v>
      </c>
      <c r="B14" s="130" t="s">
        <v>2620</v>
      </c>
      <c r="C14" s="130" t="s">
        <v>118</v>
      </c>
      <c r="D14" s="130" t="s">
        <v>152</v>
      </c>
      <c r="E14" s="223">
        <v>5000</v>
      </c>
      <c r="F14" s="223"/>
      <c r="G14" s="378">
        <f t="shared" si="0"/>
        <v>6469</v>
      </c>
      <c r="H14" s="132" t="s">
        <v>2146</v>
      </c>
      <c r="I14" s="130" t="s">
        <v>1716</v>
      </c>
    </row>
    <row r="15" spans="1:10" ht="15">
      <c r="A15" s="131">
        <v>45862</v>
      </c>
      <c r="B15" s="76" t="s">
        <v>2621</v>
      </c>
      <c r="C15" s="76"/>
      <c r="D15" s="76" t="s">
        <v>124</v>
      </c>
      <c r="E15" s="223"/>
      <c r="F15" s="223">
        <v>950000</v>
      </c>
      <c r="G15" s="378">
        <f t="shared" si="0"/>
        <v>956469</v>
      </c>
      <c r="H15" s="130" t="s">
        <v>148</v>
      </c>
      <c r="I15" s="132" t="s">
        <v>2622</v>
      </c>
    </row>
    <row r="16" spans="1:10" ht="15">
      <c r="A16" s="131">
        <v>45862</v>
      </c>
      <c r="B16" s="130" t="s">
        <v>200</v>
      </c>
      <c r="C16" s="76"/>
      <c r="D16" s="76" t="s">
        <v>124</v>
      </c>
      <c r="E16" s="222">
        <v>20000</v>
      </c>
      <c r="F16" s="223"/>
      <c r="G16" s="378">
        <f t="shared" si="0"/>
        <v>936469</v>
      </c>
      <c r="H16" s="130" t="s">
        <v>200</v>
      </c>
      <c r="I16" s="132" t="s">
        <v>2623</v>
      </c>
    </row>
    <row r="17" spans="1:9" ht="15" hidden="1">
      <c r="A17" s="131">
        <v>45862</v>
      </c>
      <c r="B17" s="130" t="s">
        <v>2413</v>
      </c>
      <c r="C17" s="76" t="s">
        <v>118</v>
      </c>
      <c r="D17" s="76" t="s">
        <v>184</v>
      </c>
      <c r="E17" s="222">
        <v>700</v>
      </c>
      <c r="F17" s="223"/>
      <c r="G17" s="378">
        <f t="shared" si="0"/>
        <v>935769</v>
      </c>
      <c r="H17" s="76" t="s">
        <v>643</v>
      </c>
      <c r="I17" s="130" t="s">
        <v>2438</v>
      </c>
    </row>
    <row r="18" spans="1:9" ht="15" hidden="1">
      <c r="A18" s="131">
        <v>45863</v>
      </c>
      <c r="B18" s="76" t="s">
        <v>2421</v>
      </c>
      <c r="C18" s="76" t="s">
        <v>118</v>
      </c>
      <c r="D18" s="76" t="s">
        <v>126</v>
      </c>
      <c r="E18" s="222">
        <v>71274</v>
      </c>
      <c r="F18" s="223"/>
      <c r="G18" s="378">
        <f t="shared" si="0"/>
        <v>864495</v>
      </c>
      <c r="H18" s="76" t="s">
        <v>643</v>
      </c>
      <c r="I18" s="130" t="s">
        <v>2440</v>
      </c>
    </row>
    <row r="19" spans="1:9" ht="15">
      <c r="A19" s="131">
        <v>45863</v>
      </c>
      <c r="B19" s="130" t="s">
        <v>643</v>
      </c>
      <c r="C19" s="76"/>
      <c r="D19" s="76" t="s">
        <v>124</v>
      </c>
      <c r="E19" s="222">
        <v>20000</v>
      </c>
      <c r="F19" s="223"/>
      <c r="G19" s="378">
        <f t="shared" si="0"/>
        <v>844495</v>
      </c>
      <c r="H19" s="76" t="s">
        <v>643</v>
      </c>
      <c r="I19" s="132" t="s">
        <v>2624</v>
      </c>
    </row>
    <row r="20" spans="1:9" ht="15" hidden="1">
      <c r="A20" s="131">
        <v>45866</v>
      </c>
      <c r="B20" s="76" t="s">
        <v>2422</v>
      </c>
      <c r="C20" s="76" t="s">
        <v>118</v>
      </c>
      <c r="D20" s="76" t="s">
        <v>2196</v>
      </c>
      <c r="E20" s="222">
        <v>6000</v>
      </c>
      <c r="F20" s="223"/>
      <c r="G20" s="378">
        <f t="shared" si="0"/>
        <v>838495</v>
      </c>
      <c r="H20" s="91" t="s">
        <v>643</v>
      </c>
      <c r="I20" s="130" t="s">
        <v>2441</v>
      </c>
    </row>
    <row r="21" spans="1:9" ht="15">
      <c r="A21" s="131">
        <v>45866</v>
      </c>
      <c r="B21" s="76" t="s">
        <v>217</v>
      </c>
      <c r="C21" s="76"/>
      <c r="D21" s="76" t="s">
        <v>124</v>
      </c>
      <c r="E21" s="222">
        <v>10000</v>
      </c>
      <c r="F21" s="223"/>
      <c r="G21" s="378">
        <f t="shared" si="0"/>
        <v>828495</v>
      </c>
      <c r="H21" s="76" t="s">
        <v>217</v>
      </c>
      <c r="I21" s="132" t="s">
        <v>2625</v>
      </c>
    </row>
    <row r="22" spans="1:9" ht="15">
      <c r="A22" s="131">
        <v>45866</v>
      </c>
      <c r="B22" s="76" t="s">
        <v>193</v>
      </c>
      <c r="C22" s="76"/>
      <c r="D22" s="130" t="s">
        <v>124</v>
      </c>
      <c r="E22" s="222">
        <v>10000</v>
      </c>
      <c r="F22" s="223"/>
      <c r="G22" s="378">
        <f t="shared" si="0"/>
        <v>818495</v>
      </c>
      <c r="H22" s="76" t="s">
        <v>193</v>
      </c>
      <c r="I22" s="132" t="s">
        <v>2626</v>
      </c>
    </row>
    <row r="23" spans="1:9" ht="15">
      <c r="A23" s="131">
        <v>45866</v>
      </c>
      <c r="B23" s="76" t="s">
        <v>196</v>
      </c>
      <c r="C23" s="76"/>
      <c r="D23" s="130" t="s">
        <v>124</v>
      </c>
      <c r="E23" s="222">
        <v>10000</v>
      </c>
      <c r="F23" s="223"/>
      <c r="G23" s="378">
        <f t="shared" si="0"/>
        <v>808495</v>
      </c>
      <c r="H23" s="76" t="s">
        <v>196</v>
      </c>
      <c r="I23" s="132" t="s">
        <v>2627</v>
      </c>
    </row>
    <row r="24" spans="1:9" ht="15" hidden="1">
      <c r="A24" s="131">
        <v>45866</v>
      </c>
      <c r="B24" s="76" t="s">
        <v>2423</v>
      </c>
      <c r="C24" s="76" t="s">
        <v>118</v>
      </c>
      <c r="D24" s="130" t="s">
        <v>317</v>
      </c>
      <c r="E24" s="222">
        <v>20000</v>
      </c>
      <c r="F24" s="223"/>
      <c r="G24" s="378">
        <f t="shared" si="0"/>
        <v>788495</v>
      </c>
      <c r="H24" s="76" t="s">
        <v>643</v>
      </c>
      <c r="I24" s="130" t="s">
        <v>2442</v>
      </c>
    </row>
    <row r="25" spans="1:9" ht="15" hidden="1">
      <c r="A25" s="131">
        <v>45866</v>
      </c>
      <c r="B25" s="76" t="s">
        <v>2424</v>
      </c>
      <c r="C25" s="76" t="s">
        <v>118</v>
      </c>
      <c r="D25" s="76" t="s">
        <v>317</v>
      </c>
      <c r="E25" s="222">
        <v>75625</v>
      </c>
      <c r="F25" s="223"/>
      <c r="G25" s="378">
        <f t="shared" si="0"/>
        <v>712870</v>
      </c>
      <c r="H25" s="76" t="s">
        <v>643</v>
      </c>
      <c r="I25" s="130" t="s">
        <v>2443</v>
      </c>
    </row>
    <row r="26" spans="1:9" ht="15" hidden="1">
      <c r="A26" s="131">
        <v>45866</v>
      </c>
      <c r="B26" s="130" t="s">
        <v>2511</v>
      </c>
      <c r="C26" s="130" t="s">
        <v>2344</v>
      </c>
      <c r="D26" s="130" t="s">
        <v>120</v>
      </c>
      <c r="E26" s="222">
        <v>66000</v>
      </c>
      <c r="F26" s="222"/>
      <c r="G26" s="378">
        <f t="shared" si="0"/>
        <v>646870</v>
      </c>
      <c r="H26" s="76" t="s">
        <v>217</v>
      </c>
      <c r="I26" s="132" t="s">
        <v>2525</v>
      </c>
    </row>
    <row r="27" spans="1:9" ht="15" hidden="1">
      <c r="A27" s="131">
        <v>45866</v>
      </c>
      <c r="B27" s="130" t="s">
        <v>2512</v>
      </c>
      <c r="C27" s="130" t="s">
        <v>2344</v>
      </c>
      <c r="D27" s="130" t="s">
        <v>120</v>
      </c>
      <c r="E27" s="222">
        <v>30000</v>
      </c>
      <c r="F27" s="223"/>
      <c r="G27" s="378">
        <f t="shared" si="0"/>
        <v>616870</v>
      </c>
      <c r="H27" s="76" t="s">
        <v>217</v>
      </c>
      <c r="I27" s="132" t="s">
        <v>2526</v>
      </c>
    </row>
    <row r="28" spans="1:9" ht="15" hidden="1">
      <c r="A28" s="131">
        <v>45866</v>
      </c>
      <c r="B28" s="130" t="s">
        <v>2513</v>
      </c>
      <c r="C28" s="130" t="s">
        <v>2344</v>
      </c>
      <c r="D28" s="130" t="s">
        <v>120</v>
      </c>
      <c r="E28" s="222">
        <v>6000</v>
      </c>
      <c r="F28" s="222"/>
      <c r="G28" s="378">
        <f t="shared" si="0"/>
        <v>610870</v>
      </c>
      <c r="H28" s="76" t="s">
        <v>217</v>
      </c>
      <c r="I28" s="132" t="s">
        <v>2527</v>
      </c>
    </row>
    <row r="29" spans="1:9" ht="15" hidden="1">
      <c r="A29" s="131">
        <v>45866</v>
      </c>
      <c r="B29" s="76" t="s">
        <v>2425</v>
      </c>
      <c r="C29" s="76" t="s">
        <v>118</v>
      </c>
      <c r="D29" s="130" t="s">
        <v>172</v>
      </c>
      <c r="E29" s="222">
        <v>12500</v>
      </c>
      <c r="F29" s="222"/>
      <c r="G29" s="378">
        <f t="shared" si="0"/>
        <v>598370</v>
      </c>
      <c r="H29" s="76" t="s">
        <v>643</v>
      </c>
      <c r="I29" s="130" t="s">
        <v>2444</v>
      </c>
    </row>
    <row r="30" spans="1:9" ht="15.75" hidden="1">
      <c r="A30" s="131">
        <v>45867</v>
      </c>
      <c r="B30" s="130" t="s">
        <v>2428</v>
      </c>
      <c r="C30" s="76" t="s">
        <v>117</v>
      </c>
      <c r="D30" s="339" t="s">
        <v>123</v>
      </c>
      <c r="E30" s="222">
        <v>115000</v>
      </c>
      <c r="F30" s="223"/>
      <c r="G30" s="378">
        <f t="shared" si="0"/>
        <v>483370</v>
      </c>
      <c r="H30" s="76" t="s">
        <v>643</v>
      </c>
      <c r="I30" s="130" t="s">
        <v>2445</v>
      </c>
    </row>
    <row r="31" spans="1:9" ht="15" hidden="1">
      <c r="A31" s="131">
        <v>45867</v>
      </c>
      <c r="B31" s="130" t="s">
        <v>1732</v>
      </c>
      <c r="C31" s="76" t="s">
        <v>118</v>
      </c>
      <c r="D31" s="130" t="s">
        <v>172</v>
      </c>
      <c r="E31" s="222">
        <v>300000</v>
      </c>
      <c r="F31" s="223"/>
      <c r="G31" s="378">
        <f t="shared" si="0"/>
        <v>183370</v>
      </c>
      <c r="H31" s="76" t="s">
        <v>643</v>
      </c>
      <c r="I31" s="130" t="s">
        <v>2446</v>
      </c>
    </row>
    <row r="32" spans="1:9" ht="15">
      <c r="A32" s="131">
        <v>45867</v>
      </c>
      <c r="B32" s="76" t="s">
        <v>2666</v>
      </c>
      <c r="C32" s="76"/>
      <c r="D32" s="130" t="s">
        <v>124</v>
      </c>
      <c r="E32" s="222">
        <v>50000</v>
      </c>
      <c r="F32" s="222"/>
      <c r="G32" s="378">
        <f t="shared" si="0"/>
        <v>133370</v>
      </c>
      <c r="H32" s="76" t="s">
        <v>153</v>
      </c>
      <c r="I32" s="132" t="s">
        <v>2628</v>
      </c>
    </row>
    <row r="33" spans="1:9" ht="15" hidden="1">
      <c r="A33" s="131">
        <v>45867</v>
      </c>
      <c r="B33" s="130" t="s">
        <v>610</v>
      </c>
      <c r="C33" s="76" t="s">
        <v>118</v>
      </c>
      <c r="D33" s="76" t="s">
        <v>172</v>
      </c>
      <c r="E33" s="222">
        <v>25000</v>
      </c>
      <c r="F33" s="222"/>
      <c r="G33" s="378">
        <f t="shared" si="0"/>
        <v>108370</v>
      </c>
      <c r="H33" s="76" t="s">
        <v>193</v>
      </c>
      <c r="I33" s="130" t="s">
        <v>2465</v>
      </c>
    </row>
    <row r="34" spans="1:9" ht="15">
      <c r="A34" s="131">
        <v>45868</v>
      </c>
      <c r="B34" s="130" t="s">
        <v>187</v>
      </c>
      <c r="C34" s="76"/>
      <c r="D34" s="76" t="s">
        <v>124</v>
      </c>
      <c r="E34" s="222"/>
      <c r="F34" s="222">
        <v>60000</v>
      </c>
      <c r="G34" s="378">
        <f t="shared" si="0"/>
        <v>168370</v>
      </c>
      <c r="H34" s="76" t="s">
        <v>187</v>
      </c>
      <c r="I34" s="132" t="s">
        <v>2629</v>
      </c>
    </row>
    <row r="35" spans="1:9" ht="15">
      <c r="A35" s="131">
        <v>45868</v>
      </c>
      <c r="B35" s="76" t="s">
        <v>176</v>
      </c>
      <c r="C35" s="76"/>
      <c r="D35" s="76" t="s">
        <v>124</v>
      </c>
      <c r="E35" s="222"/>
      <c r="F35" s="222">
        <v>50000</v>
      </c>
      <c r="G35" s="378">
        <f t="shared" si="0"/>
        <v>218370</v>
      </c>
      <c r="H35" s="76" t="s">
        <v>176</v>
      </c>
      <c r="I35" s="132" t="s">
        <v>2630</v>
      </c>
    </row>
    <row r="36" spans="1:9" ht="15">
      <c r="A36" s="131">
        <v>45868</v>
      </c>
      <c r="B36" s="76" t="s">
        <v>153</v>
      </c>
      <c r="C36" s="76"/>
      <c r="D36" s="76" t="s">
        <v>124</v>
      </c>
      <c r="E36" s="222">
        <v>100000</v>
      </c>
      <c r="F36" s="222"/>
      <c r="G36" s="378">
        <f t="shared" si="0"/>
        <v>118370</v>
      </c>
      <c r="H36" s="76" t="s">
        <v>153</v>
      </c>
      <c r="I36" s="132" t="s">
        <v>2631</v>
      </c>
    </row>
    <row r="37" spans="1:9" ht="15" hidden="1">
      <c r="A37" s="131">
        <v>45868</v>
      </c>
      <c r="B37" s="130" t="s">
        <v>2431</v>
      </c>
      <c r="C37" s="130" t="s">
        <v>118</v>
      </c>
      <c r="D37" s="130" t="s">
        <v>686</v>
      </c>
      <c r="E37" s="222">
        <v>45050</v>
      </c>
      <c r="F37" s="222"/>
      <c r="G37" s="378">
        <f t="shared" si="0"/>
        <v>73320</v>
      </c>
      <c r="H37" s="76" t="s">
        <v>643</v>
      </c>
      <c r="I37" s="130" t="s">
        <v>2447</v>
      </c>
    </row>
    <row r="38" spans="1:9" ht="15" hidden="1">
      <c r="A38" s="131">
        <v>45869</v>
      </c>
      <c r="B38" s="130" t="s">
        <v>2653</v>
      </c>
      <c r="C38" s="130" t="s">
        <v>118</v>
      </c>
      <c r="D38" s="130" t="s">
        <v>152</v>
      </c>
      <c r="E38" s="222">
        <v>15000</v>
      </c>
      <c r="F38" s="222"/>
      <c r="G38" s="378">
        <f t="shared" si="0"/>
        <v>58320</v>
      </c>
      <c r="H38" s="132" t="s">
        <v>2146</v>
      </c>
      <c r="I38" s="130" t="s">
        <v>1716</v>
      </c>
    </row>
    <row r="39" spans="1:9" ht="15">
      <c r="A39" s="131">
        <v>45869</v>
      </c>
      <c r="B39" s="130" t="s">
        <v>343</v>
      </c>
      <c r="C39" s="76"/>
      <c r="D39" s="76" t="s">
        <v>124</v>
      </c>
      <c r="E39" s="222"/>
      <c r="F39" s="222">
        <v>14050</v>
      </c>
      <c r="G39" s="378">
        <f t="shared" si="0"/>
        <v>72370</v>
      </c>
      <c r="H39" s="76" t="s">
        <v>343</v>
      </c>
      <c r="I39" s="132" t="s">
        <v>2632</v>
      </c>
    </row>
  </sheetData>
  <autoFilter ref="A1:J39">
    <filterColumn colId="3">
      <filters>
        <filter val="Versement"/>
      </filters>
    </filterColumn>
  </autoFilter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Balance</vt:lpstr>
      <vt:lpstr>DATA Juillet2025</vt:lpstr>
      <vt:lpstr>Personals balance Juillet 2025</vt:lpstr>
      <vt:lpstr>Individual costs</vt:lpstr>
      <vt:lpstr>Individual received</vt:lpstr>
      <vt:lpstr>data ANALYSIS</vt:lpstr>
      <vt:lpstr>Bank journal</vt:lpstr>
      <vt:lpstr>Bank reconciliation</vt:lpstr>
      <vt:lpstr>Cash journal</vt:lpstr>
      <vt:lpstr>Cash desk closing</vt:lpstr>
      <vt:lpstr>Global data Juillet  2025</vt:lpstr>
      <vt:lpstr>Donors table</vt:lpstr>
      <vt:lpstr>phone credit</vt:lpstr>
      <vt:lpstr>'Bank reconciliation'!Zone_d_impression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user</cp:lastModifiedBy>
  <cp:lastPrinted>2025-08-11T12:34:05Z</cp:lastPrinted>
  <dcterms:created xsi:type="dcterms:W3CDTF">2024-11-19T16:31:30Z</dcterms:created>
  <dcterms:modified xsi:type="dcterms:W3CDTF">2025-08-14T09:28:50Z</dcterms:modified>
</cp:coreProperties>
</file>